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45"/>
  </bookViews>
  <sheets>
    <sheet name="U14-OCUPM" sheetId="1" r:id="rId1"/>
    <sheet name="U14-OCUPM Combined" sheetId="12" r:id="rId2"/>
    <sheet name="U14-OCUPM Series Runs" sheetId="11" r:id="rId3"/>
    <sheet name="U14-OCUPM MW Runs" sheetId="10" r:id="rId4"/>
    <sheet name="Points Table" sheetId="2" r:id="rId5"/>
    <sheet name="NAT18.0118" sheetId="13" r:id="rId6"/>
    <sheet name="NAT18.0117" sheetId="7" r:id="rId7"/>
    <sheet name="NAT18.0119" sheetId="8" r:id="rId8"/>
    <sheet name="NAT18.0121" sheetId="9" r:id="rId9"/>
    <sheet name="NAT18.0122" sheetId="3" r:id="rId10"/>
    <sheet name="NAT18.0124" sheetId="4" r:id="rId11"/>
    <sheet name="NAT18.0140" sheetId="5" r:id="rId12"/>
    <sheet name="NAT18.0125" sheetId="6" r:id="rId13"/>
    <sheet name="NAT18.0123" sheetId="14" r:id="rId14"/>
    <sheet name="NAT18.0120" sheetId="15" r:id="rId1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4" l="1"/>
  <c r="R3" i="14"/>
  <c r="R4" i="14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66" i="14"/>
  <c r="R67" i="14"/>
  <c r="R68" i="14"/>
  <c r="R69" i="14"/>
  <c r="R70" i="14"/>
  <c r="R71" i="14"/>
  <c r="R72" i="14"/>
  <c r="R73" i="14"/>
  <c r="R74" i="14"/>
  <c r="R75" i="14"/>
  <c r="R76" i="14"/>
  <c r="R77" i="14"/>
  <c r="R78" i="14"/>
  <c r="R79" i="14"/>
  <c r="R80" i="14"/>
  <c r="R81" i="14"/>
  <c r="R82" i="14"/>
  <c r="R83" i="14"/>
  <c r="R84" i="14"/>
  <c r="R85" i="14"/>
  <c r="R86" i="14"/>
  <c r="R87" i="14"/>
  <c r="R88" i="14"/>
  <c r="R89" i="14"/>
  <c r="R90" i="14"/>
  <c r="R91" i="14"/>
  <c r="R92" i="14"/>
  <c r="R93" i="14"/>
  <c r="R94" i="14"/>
  <c r="R95" i="14"/>
  <c r="R96" i="14"/>
  <c r="R97" i="14"/>
  <c r="R98" i="14"/>
  <c r="R99" i="14"/>
  <c r="R100" i="14"/>
  <c r="R101" i="14"/>
  <c r="R102" i="14"/>
  <c r="R103" i="14"/>
  <c r="R104" i="14"/>
  <c r="R105" i="14"/>
  <c r="R106" i="14"/>
  <c r="R107" i="14"/>
  <c r="R108" i="14"/>
  <c r="R109" i="14"/>
  <c r="R110" i="14"/>
  <c r="R111" i="14"/>
  <c r="R112" i="14"/>
  <c r="R113" i="14"/>
  <c r="R114" i="14"/>
  <c r="R115" i="14"/>
  <c r="R116" i="14"/>
  <c r="R117" i="14"/>
  <c r="AA4" i="11" l="1"/>
  <c r="AB4" i="11" s="1"/>
  <c r="AA5" i="11"/>
  <c r="AB5" i="11" s="1"/>
  <c r="AA6" i="11"/>
  <c r="AB6" i="11" s="1"/>
  <c r="AA7" i="11"/>
  <c r="AB7" i="11" s="1"/>
  <c r="AA8" i="11"/>
  <c r="AB8" i="11" s="1"/>
  <c r="AA9" i="11"/>
  <c r="AB9" i="11" s="1"/>
  <c r="AA10" i="11"/>
  <c r="AB10" i="11" s="1"/>
  <c r="AA11" i="11"/>
  <c r="AB11" i="11" s="1"/>
  <c r="AA12" i="11"/>
  <c r="AB12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1" i="11"/>
  <c r="AB61" i="11" s="1"/>
  <c r="AA62" i="11"/>
  <c r="AB62" i="11" s="1"/>
  <c r="AA63" i="11"/>
  <c r="AB63" i="11" s="1"/>
  <c r="AA64" i="11"/>
  <c r="AB64" i="11" s="1"/>
  <c r="AA65" i="11"/>
  <c r="AB65" i="11" s="1"/>
  <c r="AA66" i="11"/>
  <c r="AB66" i="11" s="1"/>
  <c r="AA67" i="11"/>
  <c r="AB67" i="11" s="1"/>
  <c r="AA68" i="11"/>
  <c r="AB68" i="11" s="1"/>
  <c r="AA69" i="11"/>
  <c r="AB69" i="11" s="1"/>
  <c r="AA70" i="11"/>
  <c r="AB70" i="11" s="1"/>
  <c r="AA71" i="11"/>
  <c r="AB71" i="11" s="1"/>
  <c r="AA72" i="11"/>
  <c r="AB72" i="11" s="1"/>
  <c r="AA73" i="11"/>
  <c r="AB73" i="11" s="1"/>
  <c r="AA74" i="11"/>
  <c r="AB74" i="11" s="1"/>
  <c r="AA75" i="11"/>
  <c r="AB75" i="11" s="1"/>
  <c r="AA76" i="11"/>
  <c r="AB76" i="11" s="1"/>
  <c r="AA77" i="11"/>
  <c r="AB77" i="11" s="1"/>
  <c r="AA78" i="11"/>
  <c r="AB78" i="11" s="1"/>
  <c r="AA79" i="11"/>
  <c r="AB79" i="11" s="1"/>
  <c r="AA80" i="11"/>
  <c r="AB80" i="11" s="1"/>
  <c r="AA81" i="11"/>
  <c r="AB81" i="11" s="1"/>
  <c r="AA82" i="11"/>
  <c r="AB82" i="11" s="1"/>
  <c r="AA83" i="11"/>
  <c r="AB83" i="11" s="1"/>
  <c r="AA84" i="11"/>
  <c r="AB84" i="11" s="1"/>
  <c r="AA85" i="11"/>
  <c r="AB85" i="11" s="1"/>
  <c r="AA86" i="11"/>
  <c r="AB86" i="11" s="1"/>
  <c r="AA87" i="11"/>
  <c r="AB87" i="11" s="1"/>
  <c r="AA88" i="11"/>
  <c r="AB88" i="11" s="1"/>
  <c r="AA89" i="11"/>
  <c r="AB89" i="11" s="1"/>
  <c r="AA90" i="11"/>
  <c r="AB90" i="11" s="1"/>
  <c r="AA91" i="11"/>
  <c r="AB91" i="11" s="1"/>
  <c r="AA92" i="11"/>
  <c r="AB92" i="11" s="1"/>
  <c r="AA93" i="11"/>
  <c r="AB93" i="11" s="1"/>
  <c r="AA94" i="11"/>
  <c r="AB94" i="11" s="1"/>
  <c r="AA95" i="11"/>
  <c r="AB95" i="11" s="1"/>
  <c r="AA96" i="11"/>
  <c r="AB96" i="11" s="1"/>
  <c r="AA97" i="11"/>
  <c r="AB97" i="11" s="1"/>
  <c r="AA98" i="11"/>
  <c r="AB98" i="11" s="1"/>
  <c r="AA99" i="11"/>
  <c r="AB99" i="11" s="1"/>
  <c r="AA100" i="11"/>
  <c r="AB100" i="11" s="1"/>
  <c r="AA101" i="11"/>
  <c r="AB101" i="11" s="1"/>
  <c r="AA102" i="11"/>
  <c r="AB102" i="11" s="1"/>
  <c r="AA103" i="11"/>
  <c r="AB103" i="11" s="1"/>
  <c r="AA104" i="11"/>
  <c r="AB104" i="11" s="1"/>
  <c r="AA105" i="11"/>
  <c r="AB105" i="11" s="1"/>
  <c r="AA106" i="11"/>
  <c r="AB106" i="11" s="1"/>
  <c r="AA107" i="11"/>
  <c r="AB107" i="11" s="1"/>
  <c r="AA108" i="11"/>
  <c r="AB108" i="11" s="1"/>
  <c r="AA109" i="11"/>
  <c r="AB109" i="11" s="1"/>
  <c r="AA110" i="11"/>
  <c r="AB110" i="11" s="1"/>
  <c r="AA111" i="11"/>
  <c r="AB111" i="11" s="1"/>
  <c r="AA112" i="11"/>
  <c r="AB112" i="11" s="1"/>
  <c r="AA113" i="11"/>
  <c r="AB113" i="11" s="1"/>
  <c r="AA114" i="11"/>
  <c r="AB114" i="11" s="1"/>
  <c r="AA115" i="11"/>
  <c r="AB115" i="11" s="1"/>
  <c r="AA116" i="11"/>
  <c r="AB116" i="11" s="1"/>
  <c r="AA117" i="11"/>
  <c r="AB117" i="11" s="1"/>
  <c r="AA118" i="11"/>
  <c r="AB118" i="11" s="1"/>
  <c r="AA119" i="11"/>
  <c r="AB119" i="11" s="1"/>
  <c r="AA120" i="11"/>
  <c r="AB120" i="11" s="1"/>
  <c r="AA121" i="11"/>
  <c r="AB121" i="11" s="1"/>
  <c r="AA122" i="11"/>
  <c r="AB122" i="11" s="1"/>
  <c r="AA123" i="11"/>
  <c r="AB123" i="11" s="1"/>
  <c r="AA124" i="11"/>
  <c r="AB124" i="11" s="1"/>
  <c r="Y4" i="11"/>
  <c r="Z4" i="11" s="1"/>
  <c r="Y5" i="11"/>
  <c r="Z5" i="11" s="1"/>
  <c r="Y6" i="11"/>
  <c r="Z6" i="11" s="1"/>
  <c r="Y7" i="11"/>
  <c r="Z7" i="11" s="1"/>
  <c r="Y8" i="11"/>
  <c r="Z8" i="11" s="1"/>
  <c r="Y9" i="11"/>
  <c r="Z9" i="11" s="1"/>
  <c r="Y10" i="11"/>
  <c r="Z10" i="11" s="1"/>
  <c r="Y11" i="11"/>
  <c r="Z11" i="11" s="1"/>
  <c r="Y12" i="11"/>
  <c r="Z12" i="11" s="1"/>
  <c r="Y13" i="11"/>
  <c r="Z13" i="11" s="1"/>
  <c r="Y14" i="11"/>
  <c r="Z14" i="11" s="1"/>
  <c r="Y15" i="11"/>
  <c r="Z15" i="11" s="1"/>
  <c r="Y16" i="11"/>
  <c r="Z16" i="11" s="1"/>
  <c r="Y17" i="11"/>
  <c r="Z17" i="11" s="1"/>
  <c r="Y18" i="11"/>
  <c r="Z18" i="11" s="1"/>
  <c r="Y19" i="11"/>
  <c r="Z19" i="11" s="1"/>
  <c r="Y20" i="11"/>
  <c r="Z20" i="11" s="1"/>
  <c r="Y21" i="11"/>
  <c r="Z21" i="11" s="1"/>
  <c r="Y22" i="11"/>
  <c r="Z22" i="11" s="1"/>
  <c r="Y23" i="11"/>
  <c r="Z23" i="11" s="1"/>
  <c r="Y24" i="11"/>
  <c r="Z24" i="11" s="1"/>
  <c r="Y25" i="11"/>
  <c r="Z25" i="11" s="1"/>
  <c r="Y26" i="11"/>
  <c r="Z26" i="11" s="1"/>
  <c r="Y27" i="11"/>
  <c r="Z27" i="11" s="1"/>
  <c r="Y28" i="11"/>
  <c r="Z28" i="11" s="1"/>
  <c r="Y29" i="11"/>
  <c r="Z29" i="11" s="1"/>
  <c r="Y30" i="11"/>
  <c r="Z30" i="11" s="1"/>
  <c r="Y31" i="11"/>
  <c r="Z31" i="11" s="1"/>
  <c r="Y32" i="11"/>
  <c r="Z32" i="11" s="1"/>
  <c r="Y33" i="11"/>
  <c r="Z33" i="11" s="1"/>
  <c r="Y34" i="11"/>
  <c r="Z34" i="11" s="1"/>
  <c r="Y35" i="11"/>
  <c r="Z35" i="11" s="1"/>
  <c r="Y36" i="11"/>
  <c r="Z36" i="11" s="1"/>
  <c r="Y37" i="11"/>
  <c r="Z37" i="11" s="1"/>
  <c r="Y38" i="11"/>
  <c r="Z38" i="11" s="1"/>
  <c r="Y39" i="11"/>
  <c r="Z39" i="11" s="1"/>
  <c r="Y40" i="11"/>
  <c r="Z40" i="11" s="1"/>
  <c r="Y41" i="11"/>
  <c r="Z41" i="11" s="1"/>
  <c r="Y42" i="11"/>
  <c r="Z42" i="11" s="1"/>
  <c r="Y43" i="11"/>
  <c r="Z43" i="11" s="1"/>
  <c r="Y44" i="11"/>
  <c r="Z44" i="11" s="1"/>
  <c r="Y45" i="11"/>
  <c r="Z45" i="11" s="1"/>
  <c r="Y46" i="11"/>
  <c r="Z46" i="11" s="1"/>
  <c r="Y47" i="11"/>
  <c r="Z47" i="11" s="1"/>
  <c r="Y48" i="11"/>
  <c r="Z48" i="11" s="1"/>
  <c r="Y49" i="11"/>
  <c r="Z49" i="11" s="1"/>
  <c r="Y50" i="11"/>
  <c r="Z50" i="11" s="1"/>
  <c r="Y51" i="11"/>
  <c r="Z51" i="11" s="1"/>
  <c r="Y52" i="11"/>
  <c r="Z52" i="11" s="1"/>
  <c r="Y53" i="11"/>
  <c r="Z53" i="11" s="1"/>
  <c r="Y54" i="11"/>
  <c r="Z54" i="11" s="1"/>
  <c r="Y55" i="11"/>
  <c r="Z55" i="11" s="1"/>
  <c r="Y56" i="11"/>
  <c r="Z56" i="11" s="1"/>
  <c r="Y57" i="11"/>
  <c r="Z57" i="11" s="1"/>
  <c r="Y58" i="11"/>
  <c r="Z58" i="11" s="1"/>
  <c r="Y59" i="11"/>
  <c r="Z59" i="11" s="1"/>
  <c r="Y60" i="11"/>
  <c r="Z60" i="11" s="1"/>
  <c r="Y61" i="11"/>
  <c r="Z61" i="11" s="1"/>
  <c r="Y62" i="11"/>
  <c r="Z62" i="11" s="1"/>
  <c r="Y63" i="11"/>
  <c r="Z63" i="11" s="1"/>
  <c r="Y64" i="11"/>
  <c r="Z64" i="11" s="1"/>
  <c r="Y65" i="11"/>
  <c r="Z65" i="11" s="1"/>
  <c r="Y66" i="11"/>
  <c r="Z66" i="11" s="1"/>
  <c r="Y67" i="11"/>
  <c r="Z67" i="11" s="1"/>
  <c r="Y68" i="11"/>
  <c r="Z68" i="11" s="1"/>
  <c r="Y69" i="11"/>
  <c r="Z69" i="11" s="1"/>
  <c r="Y70" i="11"/>
  <c r="Z70" i="11" s="1"/>
  <c r="Y71" i="11"/>
  <c r="Z71" i="11" s="1"/>
  <c r="Y72" i="11"/>
  <c r="Z72" i="11" s="1"/>
  <c r="Y73" i="11"/>
  <c r="Z73" i="11" s="1"/>
  <c r="Y74" i="11"/>
  <c r="Z74" i="11" s="1"/>
  <c r="Y75" i="11"/>
  <c r="Z75" i="11" s="1"/>
  <c r="Y76" i="11"/>
  <c r="Z76" i="11" s="1"/>
  <c r="Y77" i="11"/>
  <c r="Z77" i="11" s="1"/>
  <c r="Y78" i="11"/>
  <c r="Z78" i="11" s="1"/>
  <c r="Y79" i="11"/>
  <c r="Z79" i="11" s="1"/>
  <c r="Y80" i="11"/>
  <c r="Z80" i="11" s="1"/>
  <c r="Y81" i="11"/>
  <c r="Z81" i="11" s="1"/>
  <c r="Y82" i="11"/>
  <c r="Z82" i="11" s="1"/>
  <c r="Y83" i="11"/>
  <c r="Z83" i="11" s="1"/>
  <c r="Y84" i="11"/>
  <c r="Z84" i="11" s="1"/>
  <c r="Y85" i="11"/>
  <c r="Z85" i="11" s="1"/>
  <c r="Y86" i="11"/>
  <c r="Z86" i="11" s="1"/>
  <c r="Y87" i="11"/>
  <c r="Z87" i="11" s="1"/>
  <c r="Y88" i="11"/>
  <c r="Z88" i="11" s="1"/>
  <c r="Y89" i="11"/>
  <c r="Z89" i="11" s="1"/>
  <c r="Y90" i="11"/>
  <c r="Z90" i="11" s="1"/>
  <c r="Y91" i="11"/>
  <c r="Z91" i="11" s="1"/>
  <c r="Y92" i="11"/>
  <c r="Z92" i="11" s="1"/>
  <c r="Y93" i="11"/>
  <c r="Z93" i="11" s="1"/>
  <c r="Y94" i="11"/>
  <c r="Z94" i="11" s="1"/>
  <c r="Y95" i="11"/>
  <c r="Z95" i="11" s="1"/>
  <c r="Y96" i="11"/>
  <c r="Z96" i="11" s="1"/>
  <c r="Y97" i="11"/>
  <c r="Z97" i="11" s="1"/>
  <c r="Y98" i="11"/>
  <c r="Z98" i="11" s="1"/>
  <c r="Y99" i="11"/>
  <c r="Z99" i="11" s="1"/>
  <c r="Y100" i="11"/>
  <c r="Z100" i="11" s="1"/>
  <c r="Y101" i="11"/>
  <c r="Z101" i="11" s="1"/>
  <c r="Y102" i="11"/>
  <c r="Z102" i="11" s="1"/>
  <c r="Y103" i="11"/>
  <c r="Z103" i="11" s="1"/>
  <c r="Y104" i="11"/>
  <c r="Z104" i="11" s="1"/>
  <c r="Y105" i="11"/>
  <c r="Z105" i="11" s="1"/>
  <c r="Y106" i="11"/>
  <c r="Z106" i="11" s="1"/>
  <c r="Y107" i="11"/>
  <c r="Z107" i="11" s="1"/>
  <c r="Y108" i="11"/>
  <c r="Z108" i="11" s="1"/>
  <c r="Y109" i="11"/>
  <c r="Z109" i="11" s="1"/>
  <c r="Y110" i="11"/>
  <c r="Z110" i="11" s="1"/>
  <c r="Y111" i="11"/>
  <c r="Z111" i="11" s="1"/>
  <c r="Y112" i="11"/>
  <c r="Z112" i="11" s="1"/>
  <c r="Y113" i="11"/>
  <c r="Z113" i="11" s="1"/>
  <c r="Y114" i="11"/>
  <c r="Z114" i="11" s="1"/>
  <c r="Y115" i="11"/>
  <c r="Z115" i="11" s="1"/>
  <c r="Y116" i="11"/>
  <c r="Z116" i="11" s="1"/>
  <c r="Y117" i="11"/>
  <c r="Z117" i="11" s="1"/>
  <c r="Y118" i="11"/>
  <c r="Z118" i="11" s="1"/>
  <c r="Y119" i="11"/>
  <c r="Z119" i="11" s="1"/>
  <c r="Y120" i="11"/>
  <c r="Z120" i="11" s="1"/>
  <c r="Y121" i="11"/>
  <c r="Z121" i="11" s="1"/>
  <c r="Y122" i="11"/>
  <c r="Z122" i="11" s="1"/>
  <c r="Y123" i="11"/>
  <c r="Z123" i="11" s="1"/>
  <c r="Y124" i="11"/>
  <c r="Z124" i="11" s="1"/>
  <c r="P4" i="12"/>
  <c r="Q4" i="12" s="1"/>
  <c r="P5" i="12"/>
  <c r="Q5" i="12" s="1"/>
  <c r="P6" i="12"/>
  <c r="Q6" i="12" s="1"/>
  <c r="P7" i="12"/>
  <c r="Q7" i="12" s="1"/>
  <c r="P8" i="12"/>
  <c r="Q8" i="12" s="1"/>
  <c r="P9" i="12"/>
  <c r="Q9" i="12" s="1"/>
  <c r="P10" i="12"/>
  <c r="Q10" i="12" s="1"/>
  <c r="P11" i="12"/>
  <c r="Q11" i="12" s="1"/>
  <c r="P12" i="12"/>
  <c r="Q12" i="12" s="1"/>
  <c r="P13" i="12"/>
  <c r="Q13" i="12" s="1"/>
  <c r="P14" i="12"/>
  <c r="Q14" i="12" s="1"/>
  <c r="P15" i="12"/>
  <c r="Q15" i="12" s="1"/>
  <c r="P16" i="12"/>
  <c r="Q16" i="12" s="1"/>
  <c r="P17" i="12"/>
  <c r="Q17" i="12" s="1"/>
  <c r="P18" i="12"/>
  <c r="Q18" i="12" s="1"/>
  <c r="P19" i="12"/>
  <c r="Q19" i="12" s="1"/>
  <c r="P20" i="12"/>
  <c r="Q20" i="12" s="1"/>
  <c r="P21" i="12"/>
  <c r="Q21" i="12" s="1"/>
  <c r="P22" i="12"/>
  <c r="Q22" i="12" s="1"/>
  <c r="P23" i="12"/>
  <c r="Q23" i="12" s="1"/>
  <c r="P24" i="12"/>
  <c r="Q24" i="12" s="1"/>
  <c r="P25" i="12"/>
  <c r="Q25" i="12" s="1"/>
  <c r="P26" i="12"/>
  <c r="Q26" i="12" s="1"/>
  <c r="P27" i="12"/>
  <c r="Q27" i="12" s="1"/>
  <c r="P28" i="12"/>
  <c r="Q28" i="12" s="1"/>
  <c r="P29" i="12"/>
  <c r="Q29" i="12" s="1"/>
  <c r="P30" i="12"/>
  <c r="Q30" i="12" s="1"/>
  <c r="P31" i="12"/>
  <c r="Q31" i="12" s="1"/>
  <c r="P32" i="12"/>
  <c r="Q32" i="12" s="1"/>
  <c r="P33" i="12"/>
  <c r="Q33" i="12" s="1"/>
  <c r="P34" i="12"/>
  <c r="Q34" i="12" s="1"/>
  <c r="P35" i="12"/>
  <c r="Q35" i="12" s="1"/>
  <c r="P36" i="12"/>
  <c r="Q36" i="12" s="1"/>
  <c r="P37" i="12"/>
  <c r="Q37" i="12" s="1"/>
  <c r="P38" i="12"/>
  <c r="Q38" i="12" s="1"/>
  <c r="P39" i="12"/>
  <c r="Q39" i="12" s="1"/>
  <c r="P40" i="12"/>
  <c r="Q40" i="12" s="1"/>
  <c r="P41" i="12"/>
  <c r="Q41" i="12" s="1"/>
  <c r="P42" i="12"/>
  <c r="Q42" i="12" s="1"/>
  <c r="P43" i="12"/>
  <c r="Q43" i="12" s="1"/>
  <c r="P44" i="12"/>
  <c r="Q44" i="12" s="1"/>
  <c r="P45" i="12"/>
  <c r="Q45" i="12" s="1"/>
  <c r="P46" i="12"/>
  <c r="Q46" i="12" s="1"/>
  <c r="P47" i="12"/>
  <c r="Q47" i="12" s="1"/>
  <c r="P48" i="12"/>
  <c r="Q48" i="12" s="1"/>
  <c r="P49" i="12"/>
  <c r="Q49" i="12" s="1"/>
  <c r="P50" i="12"/>
  <c r="Q50" i="12" s="1"/>
  <c r="P51" i="12"/>
  <c r="Q51" i="12" s="1"/>
  <c r="P52" i="12"/>
  <c r="Q52" i="12" s="1"/>
  <c r="P53" i="12"/>
  <c r="Q53" i="12" s="1"/>
  <c r="P54" i="12"/>
  <c r="Q54" i="12" s="1"/>
  <c r="P55" i="12"/>
  <c r="Q55" i="12" s="1"/>
  <c r="P56" i="12"/>
  <c r="Q56" i="12" s="1"/>
  <c r="P57" i="12"/>
  <c r="Q57" i="12" s="1"/>
  <c r="P58" i="12"/>
  <c r="Q58" i="12" s="1"/>
  <c r="P59" i="12"/>
  <c r="Q59" i="12" s="1"/>
  <c r="P60" i="12"/>
  <c r="Q60" i="12" s="1"/>
  <c r="P61" i="12"/>
  <c r="Q61" i="12" s="1"/>
  <c r="P62" i="12"/>
  <c r="Q62" i="12" s="1"/>
  <c r="P63" i="12"/>
  <c r="Q63" i="12" s="1"/>
  <c r="P64" i="12"/>
  <c r="Q64" i="12" s="1"/>
  <c r="P65" i="12"/>
  <c r="Q65" i="12" s="1"/>
  <c r="P66" i="12"/>
  <c r="Q66" i="12" s="1"/>
  <c r="P67" i="12"/>
  <c r="Q67" i="12" s="1"/>
  <c r="P68" i="12"/>
  <c r="Q68" i="12" s="1"/>
  <c r="P69" i="12"/>
  <c r="Q69" i="12" s="1"/>
  <c r="P70" i="12"/>
  <c r="Q70" i="12" s="1"/>
  <c r="P71" i="12"/>
  <c r="Q71" i="12" s="1"/>
  <c r="P72" i="12"/>
  <c r="Q72" i="12" s="1"/>
  <c r="P73" i="12"/>
  <c r="Q73" i="12" s="1"/>
  <c r="P74" i="12"/>
  <c r="Q74" i="12" s="1"/>
  <c r="P75" i="12"/>
  <c r="Q75" i="12" s="1"/>
  <c r="P76" i="12"/>
  <c r="Q76" i="12" s="1"/>
  <c r="P77" i="12"/>
  <c r="Q77" i="12" s="1"/>
  <c r="P78" i="12"/>
  <c r="Q78" i="12" s="1"/>
  <c r="P79" i="12"/>
  <c r="Q79" i="12" s="1"/>
  <c r="P80" i="12"/>
  <c r="Q80" i="12" s="1"/>
  <c r="P81" i="12"/>
  <c r="Q81" i="12" s="1"/>
  <c r="P82" i="12"/>
  <c r="Q82" i="12" s="1"/>
  <c r="P83" i="12"/>
  <c r="Q83" i="12" s="1"/>
  <c r="P84" i="12"/>
  <c r="Q84" i="12" s="1"/>
  <c r="P85" i="12"/>
  <c r="Q85" i="12" s="1"/>
  <c r="P86" i="12"/>
  <c r="Q86" i="12" s="1"/>
  <c r="P87" i="12"/>
  <c r="Q87" i="12" s="1"/>
  <c r="P88" i="12"/>
  <c r="Q88" i="12" s="1"/>
  <c r="P89" i="12"/>
  <c r="Q89" i="12" s="1"/>
  <c r="P90" i="12"/>
  <c r="Q90" i="12" s="1"/>
  <c r="P91" i="12"/>
  <c r="Q91" i="12" s="1"/>
  <c r="P92" i="12"/>
  <c r="Q92" i="12" s="1"/>
  <c r="P93" i="12"/>
  <c r="Q93" i="12" s="1"/>
  <c r="P94" i="12"/>
  <c r="Q94" i="12" s="1"/>
  <c r="P95" i="12"/>
  <c r="Q95" i="12" s="1"/>
  <c r="P96" i="12"/>
  <c r="Q96" i="12" s="1"/>
  <c r="P97" i="12"/>
  <c r="Q97" i="12" s="1"/>
  <c r="P98" i="12"/>
  <c r="Q98" i="12" s="1"/>
  <c r="P99" i="12"/>
  <c r="Q99" i="12" s="1"/>
  <c r="P100" i="12"/>
  <c r="Q100" i="12" s="1"/>
  <c r="P101" i="12"/>
  <c r="Q101" i="12" s="1"/>
  <c r="P102" i="12"/>
  <c r="Q102" i="12" s="1"/>
  <c r="P103" i="12"/>
  <c r="Q103" i="12" s="1"/>
  <c r="P104" i="12"/>
  <c r="Q104" i="12" s="1"/>
  <c r="P105" i="12"/>
  <c r="Q105" i="12" s="1"/>
  <c r="P106" i="12"/>
  <c r="Q106" i="12" s="1"/>
  <c r="P107" i="12"/>
  <c r="Q107" i="12" s="1"/>
  <c r="P108" i="12"/>
  <c r="Q108" i="12" s="1"/>
  <c r="P109" i="12"/>
  <c r="Q109" i="12" s="1"/>
  <c r="P110" i="12"/>
  <c r="Q110" i="12" s="1"/>
  <c r="P111" i="12"/>
  <c r="Q111" i="12" s="1"/>
  <c r="P112" i="12"/>
  <c r="Q112" i="12" s="1"/>
  <c r="P113" i="12"/>
  <c r="Q113" i="12" s="1"/>
  <c r="P114" i="12"/>
  <c r="Q114" i="12" s="1"/>
  <c r="P115" i="12"/>
  <c r="Q115" i="12" s="1"/>
  <c r="P116" i="12"/>
  <c r="Q116" i="12" s="1"/>
  <c r="P117" i="12"/>
  <c r="Q117" i="12" s="1"/>
  <c r="P118" i="12"/>
  <c r="Q118" i="12" s="1"/>
  <c r="P119" i="12"/>
  <c r="Q119" i="12" s="1"/>
  <c r="P120" i="12"/>
  <c r="Q120" i="12" s="1"/>
  <c r="P121" i="12"/>
  <c r="Q121" i="12" s="1"/>
  <c r="P122" i="12"/>
  <c r="Q122" i="12" s="1"/>
  <c r="P123" i="12"/>
  <c r="Q123" i="12" s="1"/>
  <c r="P124" i="12"/>
  <c r="Q124" i="12" s="1"/>
  <c r="O2" i="15"/>
  <c r="O3" i="15"/>
  <c r="O4" i="15"/>
  <c r="O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64" i="15"/>
  <c r="O65" i="15"/>
  <c r="O66" i="15"/>
  <c r="O67" i="15"/>
  <c r="O68" i="15"/>
  <c r="O69" i="15"/>
  <c r="O70" i="15"/>
  <c r="O71" i="15"/>
  <c r="O72" i="15"/>
  <c r="O73" i="15"/>
  <c r="O74" i="15"/>
  <c r="O75" i="15"/>
  <c r="O76" i="15"/>
  <c r="O77" i="15"/>
  <c r="O78" i="15"/>
  <c r="O79" i="15"/>
  <c r="O80" i="15"/>
  <c r="O81" i="15"/>
  <c r="O82" i="15"/>
  <c r="O83" i="15"/>
  <c r="O84" i="15"/>
  <c r="O85" i="15"/>
  <c r="O86" i="15"/>
  <c r="O87" i="15"/>
  <c r="O88" i="15"/>
  <c r="O89" i="15"/>
  <c r="O90" i="15"/>
  <c r="O91" i="15"/>
  <c r="O92" i="15"/>
  <c r="O93" i="15"/>
  <c r="O94" i="15"/>
  <c r="O95" i="15"/>
  <c r="O96" i="15"/>
  <c r="O97" i="15"/>
  <c r="O98" i="15"/>
  <c r="O99" i="15"/>
  <c r="O100" i="15"/>
  <c r="O101" i="15"/>
  <c r="O102" i="15"/>
  <c r="O103" i="15"/>
  <c r="O104" i="15"/>
  <c r="O105" i="15"/>
  <c r="O106" i="15"/>
  <c r="O107" i="15"/>
  <c r="O108" i="15"/>
  <c r="O109" i="15"/>
  <c r="O110" i="15"/>
  <c r="O111" i="15"/>
  <c r="O112" i="15"/>
  <c r="O113" i="15"/>
  <c r="R2" i="15"/>
  <c r="R3" i="15"/>
  <c r="R4" i="15"/>
  <c r="R5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59" i="15"/>
  <c r="R60" i="15"/>
  <c r="R61" i="15"/>
  <c r="R62" i="15"/>
  <c r="R63" i="15"/>
  <c r="R64" i="15"/>
  <c r="R65" i="15"/>
  <c r="R66" i="15"/>
  <c r="R67" i="15"/>
  <c r="R68" i="15"/>
  <c r="R69" i="15"/>
  <c r="R70" i="15"/>
  <c r="R71" i="15"/>
  <c r="R72" i="15"/>
  <c r="R73" i="15"/>
  <c r="R74" i="15"/>
  <c r="R75" i="15"/>
  <c r="R76" i="15"/>
  <c r="R77" i="15"/>
  <c r="R78" i="15"/>
  <c r="R79" i="15"/>
  <c r="R80" i="15"/>
  <c r="R81" i="15"/>
  <c r="R82" i="15"/>
  <c r="R83" i="15"/>
  <c r="R84" i="15"/>
  <c r="R85" i="15"/>
  <c r="R86" i="15"/>
  <c r="R87" i="15"/>
  <c r="R88" i="15"/>
  <c r="R89" i="15"/>
  <c r="R90" i="15"/>
  <c r="R91" i="15"/>
  <c r="R92" i="15"/>
  <c r="R93" i="15"/>
  <c r="R94" i="15"/>
  <c r="R95" i="15"/>
  <c r="R96" i="15"/>
  <c r="R97" i="15"/>
  <c r="R98" i="15"/>
  <c r="R99" i="15"/>
  <c r="R100" i="15"/>
  <c r="R101" i="15"/>
  <c r="R102" i="15"/>
  <c r="R103" i="15"/>
  <c r="R104" i="15"/>
  <c r="R105" i="15"/>
  <c r="R106" i="15"/>
  <c r="R107" i="15"/>
  <c r="R108" i="15"/>
  <c r="R109" i="15"/>
  <c r="R110" i="15"/>
  <c r="R111" i="15"/>
  <c r="R112" i="15"/>
  <c r="R113" i="15"/>
  <c r="Q2" i="15"/>
  <c r="Q3" i="15"/>
  <c r="Q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Q51" i="15"/>
  <c r="Q52" i="15"/>
  <c r="Q53" i="15"/>
  <c r="Q54" i="15"/>
  <c r="Q55" i="15"/>
  <c r="Q56" i="15"/>
  <c r="Q57" i="15"/>
  <c r="Q58" i="15"/>
  <c r="Q59" i="15"/>
  <c r="Q60" i="15"/>
  <c r="Q61" i="15"/>
  <c r="Q62" i="15"/>
  <c r="Q63" i="15"/>
  <c r="Q64" i="15"/>
  <c r="Q65" i="15"/>
  <c r="Q66" i="15"/>
  <c r="Q67" i="15"/>
  <c r="Q68" i="15"/>
  <c r="Q69" i="15"/>
  <c r="Q70" i="15"/>
  <c r="Q71" i="15"/>
  <c r="Q72" i="15"/>
  <c r="Q73" i="15"/>
  <c r="Q74" i="15"/>
  <c r="Q75" i="15"/>
  <c r="Q76" i="15"/>
  <c r="Q77" i="15"/>
  <c r="Q78" i="15"/>
  <c r="Q79" i="15"/>
  <c r="Q80" i="15"/>
  <c r="Q81" i="15"/>
  <c r="Q82" i="15"/>
  <c r="Q83" i="15"/>
  <c r="Q84" i="15"/>
  <c r="Q85" i="15"/>
  <c r="Q86" i="15"/>
  <c r="Q87" i="15"/>
  <c r="Q88" i="15"/>
  <c r="Q89" i="15"/>
  <c r="Q90" i="15"/>
  <c r="Q91" i="15"/>
  <c r="Q92" i="15"/>
  <c r="Q93" i="15"/>
  <c r="Q94" i="15"/>
  <c r="Q95" i="15"/>
  <c r="Q96" i="15"/>
  <c r="Q97" i="15"/>
  <c r="Q98" i="15"/>
  <c r="Q99" i="15"/>
  <c r="Q100" i="15"/>
  <c r="Q101" i="15"/>
  <c r="Q102" i="15"/>
  <c r="Q103" i="15"/>
  <c r="Q104" i="15"/>
  <c r="Q105" i="15"/>
  <c r="Q106" i="15"/>
  <c r="Q107" i="15"/>
  <c r="Q108" i="15"/>
  <c r="Q109" i="15"/>
  <c r="Q110" i="15"/>
  <c r="Q111" i="15"/>
  <c r="Q112" i="15"/>
  <c r="Q113" i="15"/>
  <c r="P2" i="15"/>
  <c r="P3" i="15"/>
  <c r="P4" i="15"/>
  <c r="P5" i="15"/>
  <c r="P6" i="15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N2" i="15"/>
  <c r="N3" i="15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W4" i="11" l="1"/>
  <c r="X4" i="11" s="1"/>
  <c r="W5" i="11"/>
  <c r="X5" i="11" s="1"/>
  <c r="W6" i="11"/>
  <c r="X6" i="11" s="1"/>
  <c r="W7" i="11"/>
  <c r="X7" i="11" s="1"/>
  <c r="W8" i="11"/>
  <c r="X8" i="11" s="1"/>
  <c r="W9" i="11"/>
  <c r="X9" i="11" s="1"/>
  <c r="W10" i="11"/>
  <c r="X10" i="11" s="1"/>
  <c r="W11" i="11"/>
  <c r="X11" i="11" s="1"/>
  <c r="W12" i="11"/>
  <c r="X12" i="11" s="1"/>
  <c r="W13" i="11"/>
  <c r="X13" i="11" s="1"/>
  <c r="W14" i="11"/>
  <c r="X14" i="11" s="1"/>
  <c r="W15" i="11"/>
  <c r="X15" i="11" s="1"/>
  <c r="W16" i="11"/>
  <c r="X16" i="11" s="1"/>
  <c r="W17" i="11"/>
  <c r="X17" i="11" s="1"/>
  <c r="W18" i="11"/>
  <c r="X18" i="11" s="1"/>
  <c r="W19" i="11"/>
  <c r="X19" i="11" s="1"/>
  <c r="W20" i="11"/>
  <c r="X20" i="11" s="1"/>
  <c r="W21" i="11"/>
  <c r="X21" i="11" s="1"/>
  <c r="W22" i="11"/>
  <c r="X22" i="11" s="1"/>
  <c r="W23" i="11"/>
  <c r="X23" i="11" s="1"/>
  <c r="W24" i="11"/>
  <c r="X24" i="11" s="1"/>
  <c r="W25" i="11"/>
  <c r="X25" i="11" s="1"/>
  <c r="W26" i="11"/>
  <c r="X26" i="11" s="1"/>
  <c r="W27" i="11"/>
  <c r="X27" i="11" s="1"/>
  <c r="W28" i="11"/>
  <c r="X28" i="11" s="1"/>
  <c r="W29" i="11"/>
  <c r="X29" i="11" s="1"/>
  <c r="W30" i="11"/>
  <c r="X30" i="11" s="1"/>
  <c r="W31" i="11"/>
  <c r="X31" i="11" s="1"/>
  <c r="W32" i="11"/>
  <c r="X32" i="11" s="1"/>
  <c r="W33" i="11"/>
  <c r="X33" i="11" s="1"/>
  <c r="W34" i="11"/>
  <c r="X34" i="11" s="1"/>
  <c r="W35" i="11"/>
  <c r="X35" i="11" s="1"/>
  <c r="W36" i="11"/>
  <c r="X36" i="11" s="1"/>
  <c r="W37" i="11"/>
  <c r="X37" i="11" s="1"/>
  <c r="W38" i="11"/>
  <c r="X38" i="11" s="1"/>
  <c r="W39" i="11"/>
  <c r="X39" i="11" s="1"/>
  <c r="W40" i="11"/>
  <c r="X40" i="11" s="1"/>
  <c r="W41" i="11"/>
  <c r="X41" i="11" s="1"/>
  <c r="W42" i="11"/>
  <c r="X42" i="11" s="1"/>
  <c r="W43" i="11"/>
  <c r="X43" i="11" s="1"/>
  <c r="W44" i="11"/>
  <c r="X44" i="11" s="1"/>
  <c r="W45" i="11"/>
  <c r="X45" i="11" s="1"/>
  <c r="W46" i="11"/>
  <c r="X46" i="11" s="1"/>
  <c r="W47" i="11"/>
  <c r="X47" i="11" s="1"/>
  <c r="W48" i="11"/>
  <c r="X48" i="11" s="1"/>
  <c r="W49" i="11"/>
  <c r="X49" i="11" s="1"/>
  <c r="W50" i="11"/>
  <c r="X50" i="11" s="1"/>
  <c r="W51" i="11"/>
  <c r="X51" i="11" s="1"/>
  <c r="W52" i="11"/>
  <c r="X52" i="11" s="1"/>
  <c r="W53" i="11"/>
  <c r="X53" i="11" s="1"/>
  <c r="W54" i="11"/>
  <c r="X54" i="11" s="1"/>
  <c r="W55" i="11"/>
  <c r="X55" i="11" s="1"/>
  <c r="W56" i="11"/>
  <c r="X56" i="11" s="1"/>
  <c r="W57" i="11"/>
  <c r="X57" i="11" s="1"/>
  <c r="W58" i="11"/>
  <c r="X58" i="11" s="1"/>
  <c r="W59" i="11"/>
  <c r="X59" i="11" s="1"/>
  <c r="W60" i="11"/>
  <c r="X60" i="11" s="1"/>
  <c r="W61" i="11"/>
  <c r="X61" i="11" s="1"/>
  <c r="W62" i="11"/>
  <c r="X62" i="11" s="1"/>
  <c r="W63" i="11"/>
  <c r="X63" i="11" s="1"/>
  <c r="W64" i="11"/>
  <c r="X64" i="11" s="1"/>
  <c r="W65" i="11"/>
  <c r="X65" i="11" s="1"/>
  <c r="W66" i="11"/>
  <c r="X66" i="11" s="1"/>
  <c r="W67" i="11"/>
  <c r="X67" i="11" s="1"/>
  <c r="W68" i="11"/>
  <c r="X68" i="11" s="1"/>
  <c r="W69" i="11"/>
  <c r="X69" i="11" s="1"/>
  <c r="W70" i="11"/>
  <c r="X70" i="11" s="1"/>
  <c r="W71" i="11"/>
  <c r="X71" i="11" s="1"/>
  <c r="W72" i="11"/>
  <c r="X72" i="11" s="1"/>
  <c r="W73" i="11"/>
  <c r="X73" i="11" s="1"/>
  <c r="W74" i="11"/>
  <c r="X74" i="11" s="1"/>
  <c r="W75" i="11"/>
  <c r="X75" i="11" s="1"/>
  <c r="W76" i="11"/>
  <c r="X76" i="11" s="1"/>
  <c r="W77" i="11"/>
  <c r="X77" i="11" s="1"/>
  <c r="W78" i="11"/>
  <c r="X78" i="11" s="1"/>
  <c r="W79" i="11"/>
  <c r="X79" i="11" s="1"/>
  <c r="W80" i="11"/>
  <c r="X80" i="11" s="1"/>
  <c r="W81" i="11"/>
  <c r="X81" i="11" s="1"/>
  <c r="W82" i="11"/>
  <c r="X82" i="11" s="1"/>
  <c r="W83" i="11"/>
  <c r="X83" i="11" s="1"/>
  <c r="W84" i="11"/>
  <c r="X84" i="11" s="1"/>
  <c r="W85" i="11"/>
  <c r="X85" i="11" s="1"/>
  <c r="W86" i="11"/>
  <c r="X86" i="11" s="1"/>
  <c r="W87" i="11"/>
  <c r="X87" i="11" s="1"/>
  <c r="W88" i="11"/>
  <c r="X88" i="11" s="1"/>
  <c r="W89" i="11"/>
  <c r="X89" i="11" s="1"/>
  <c r="W90" i="11"/>
  <c r="X90" i="11" s="1"/>
  <c r="W91" i="11"/>
  <c r="X91" i="11" s="1"/>
  <c r="W92" i="11"/>
  <c r="X92" i="11" s="1"/>
  <c r="W93" i="11"/>
  <c r="X93" i="11" s="1"/>
  <c r="W94" i="11"/>
  <c r="X94" i="11" s="1"/>
  <c r="W95" i="11"/>
  <c r="X95" i="11" s="1"/>
  <c r="W96" i="11"/>
  <c r="X96" i="11" s="1"/>
  <c r="W97" i="11"/>
  <c r="X97" i="11" s="1"/>
  <c r="W98" i="11"/>
  <c r="X98" i="11" s="1"/>
  <c r="W99" i="11"/>
  <c r="X99" i="11" s="1"/>
  <c r="W100" i="11"/>
  <c r="X100" i="11" s="1"/>
  <c r="W101" i="11"/>
  <c r="X101" i="11" s="1"/>
  <c r="W102" i="11"/>
  <c r="X102" i="11" s="1"/>
  <c r="W103" i="11"/>
  <c r="X103" i="11" s="1"/>
  <c r="W104" i="11"/>
  <c r="X104" i="11" s="1"/>
  <c r="W105" i="11"/>
  <c r="X105" i="11" s="1"/>
  <c r="W106" i="11"/>
  <c r="X106" i="11" s="1"/>
  <c r="W107" i="11"/>
  <c r="X107" i="11" s="1"/>
  <c r="W108" i="11"/>
  <c r="X108" i="11" s="1"/>
  <c r="W109" i="11"/>
  <c r="X109" i="11" s="1"/>
  <c r="W110" i="11"/>
  <c r="X110" i="11" s="1"/>
  <c r="W111" i="11"/>
  <c r="X111" i="11" s="1"/>
  <c r="W112" i="11"/>
  <c r="X112" i="11" s="1"/>
  <c r="W113" i="11"/>
  <c r="X113" i="11" s="1"/>
  <c r="W114" i="11"/>
  <c r="X114" i="11" s="1"/>
  <c r="W115" i="11"/>
  <c r="X115" i="11" s="1"/>
  <c r="W116" i="11"/>
  <c r="X116" i="11" s="1"/>
  <c r="W117" i="11"/>
  <c r="X117" i="11" s="1"/>
  <c r="W118" i="11"/>
  <c r="X118" i="11" s="1"/>
  <c r="W119" i="11"/>
  <c r="X119" i="11" s="1"/>
  <c r="W120" i="11"/>
  <c r="X120" i="11" s="1"/>
  <c r="W121" i="11"/>
  <c r="X121" i="11" s="1"/>
  <c r="W122" i="11"/>
  <c r="X122" i="11" s="1"/>
  <c r="W123" i="11"/>
  <c r="X123" i="11" s="1"/>
  <c r="W124" i="11"/>
  <c r="X124" i="11" s="1"/>
  <c r="U4" i="11"/>
  <c r="V4" i="11" s="1"/>
  <c r="U5" i="11"/>
  <c r="V5" i="11" s="1"/>
  <c r="U6" i="11"/>
  <c r="V6" i="11" s="1"/>
  <c r="U7" i="11"/>
  <c r="V7" i="11" s="1"/>
  <c r="U8" i="11"/>
  <c r="V8" i="11" s="1"/>
  <c r="U9" i="11"/>
  <c r="V9" i="11" s="1"/>
  <c r="U10" i="11"/>
  <c r="V10" i="11" s="1"/>
  <c r="U11" i="11"/>
  <c r="V11" i="11" s="1"/>
  <c r="U12" i="11"/>
  <c r="V12" i="11" s="1"/>
  <c r="U13" i="11"/>
  <c r="V13" i="11" s="1"/>
  <c r="U14" i="11"/>
  <c r="V14" i="11" s="1"/>
  <c r="U15" i="11"/>
  <c r="V15" i="11" s="1"/>
  <c r="U16" i="11"/>
  <c r="V16" i="11" s="1"/>
  <c r="U17" i="11"/>
  <c r="V17" i="11" s="1"/>
  <c r="U18" i="11"/>
  <c r="V18" i="11" s="1"/>
  <c r="U19" i="11"/>
  <c r="V19" i="11" s="1"/>
  <c r="U20" i="11"/>
  <c r="V20" i="11" s="1"/>
  <c r="U21" i="11"/>
  <c r="V21" i="11" s="1"/>
  <c r="U22" i="11"/>
  <c r="V22" i="11" s="1"/>
  <c r="U23" i="11"/>
  <c r="V23" i="11" s="1"/>
  <c r="U24" i="11"/>
  <c r="V24" i="11" s="1"/>
  <c r="U25" i="11"/>
  <c r="V25" i="11" s="1"/>
  <c r="U26" i="11"/>
  <c r="V26" i="11" s="1"/>
  <c r="U27" i="11"/>
  <c r="V27" i="11" s="1"/>
  <c r="U28" i="11"/>
  <c r="V28" i="11" s="1"/>
  <c r="U29" i="11"/>
  <c r="V29" i="11" s="1"/>
  <c r="U30" i="11"/>
  <c r="V30" i="11" s="1"/>
  <c r="U31" i="11"/>
  <c r="V31" i="11" s="1"/>
  <c r="U32" i="11"/>
  <c r="V32" i="11" s="1"/>
  <c r="U33" i="11"/>
  <c r="V33" i="11" s="1"/>
  <c r="U34" i="11"/>
  <c r="V34" i="11" s="1"/>
  <c r="U35" i="11"/>
  <c r="V35" i="11" s="1"/>
  <c r="U36" i="11"/>
  <c r="V36" i="11" s="1"/>
  <c r="U37" i="11"/>
  <c r="V37" i="11" s="1"/>
  <c r="U38" i="11"/>
  <c r="V38" i="11" s="1"/>
  <c r="U39" i="11"/>
  <c r="V39" i="11" s="1"/>
  <c r="U40" i="11"/>
  <c r="V40" i="11" s="1"/>
  <c r="U41" i="11"/>
  <c r="V41" i="11" s="1"/>
  <c r="U42" i="11"/>
  <c r="V42" i="11" s="1"/>
  <c r="U43" i="11"/>
  <c r="V43" i="11" s="1"/>
  <c r="U44" i="11"/>
  <c r="V44" i="11" s="1"/>
  <c r="U45" i="11"/>
  <c r="V45" i="11" s="1"/>
  <c r="U46" i="11"/>
  <c r="V46" i="11" s="1"/>
  <c r="U47" i="11"/>
  <c r="V47" i="11" s="1"/>
  <c r="U48" i="11"/>
  <c r="V48" i="11" s="1"/>
  <c r="U49" i="11"/>
  <c r="V49" i="11" s="1"/>
  <c r="U50" i="11"/>
  <c r="V50" i="11" s="1"/>
  <c r="U51" i="11"/>
  <c r="V51" i="11" s="1"/>
  <c r="U52" i="11"/>
  <c r="V52" i="11" s="1"/>
  <c r="U53" i="11"/>
  <c r="V53" i="11" s="1"/>
  <c r="U54" i="11"/>
  <c r="V54" i="11" s="1"/>
  <c r="U55" i="11"/>
  <c r="V55" i="11" s="1"/>
  <c r="U56" i="11"/>
  <c r="V56" i="11" s="1"/>
  <c r="U57" i="11"/>
  <c r="V57" i="11" s="1"/>
  <c r="U58" i="11"/>
  <c r="V58" i="11" s="1"/>
  <c r="U59" i="11"/>
  <c r="V59" i="11" s="1"/>
  <c r="U60" i="11"/>
  <c r="V60" i="11" s="1"/>
  <c r="U61" i="11"/>
  <c r="V61" i="11" s="1"/>
  <c r="U62" i="11"/>
  <c r="V62" i="11" s="1"/>
  <c r="U63" i="11"/>
  <c r="V63" i="11" s="1"/>
  <c r="U64" i="11"/>
  <c r="V64" i="11" s="1"/>
  <c r="U65" i="11"/>
  <c r="V65" i="11" s="1"/>
  <c r="U66" i="11"/>
  <c r="V66" i="11" s="1"/>
  <c r="U67" i="11"/>
  <c r="V67" i="11" s="1"/>
  <c r="U68" i="11"/>
  <c r="V68" i="11" s="1"/>
  <c r="U69" i="11"/>
  <c r="V69" i="11" s="1"/>
  <c r="U70" i="11"/>
  <c r="V70" i="11" s="1"/>
  <c r="U71" i="11"/>
  <c r="V71" i="11" s="1"/>
  <c r="U72" i="11"/>
  <c r="V72" i="11" s="1"/>
  <c r="U73" i="11"/>
  <c r="V73" i="11" s="1"/>
  <c r="U74" i="11"/>
  <c r="V74" i="11" s="1"/>
  <c r="U75" i="11"/>
  <c r="V75" i="11" s="1"/>
  <c r="U76" i="11"/>
  <c r="V76" i="11" s="1"/>
  <c r="U77" i="11"/>
  <c r="V77" i="11" s="1"/>
  <c r="U78" i="11"/>
  <c r="V78" i="11" s="1"/>
  <c r="U79" i="11"/>
  <c r="V79" i="11" s="1"/>
  <c r="U80" i="11"/>
  <c r="V80" i="11" s="1"/>
  <c r="U81" i="11"/>
  <c r="V81" i="11" s="1"/>
  <c r="U82" i="11"/>
  <c r="V82" i="11" s="1"/>
  <c r="U83" i="11"/>
  <c r="V83" i="11" s="1"/>
  <c r="U84" i="11"/>
  <c r="V84" i="11" s="1"/>
  <c r="U85" i="11"/>
  <c r="V85" i="11" s="1"/>
  <c r="U86" i="11"/>
  <c r="V86" i="11" s="1"/>
  <c r="U87" i="11"/>
  <c r="V87" i="11" s="1"/>
  <c r="U88" i="11"/>
  <c r="V88" i="11" s="1"/>
  <c r="U89" i="11"/>
  <c r="V89" i="11" s="1"/>
  <c r="U90" i="11"/>
  <c r="V90" i="11" s="1"/>
  <c r="U91" i="11"/>
  <c r="V91" i="11" s="1"/>
  <c r="U92" i="11"/>
  <c r="V92" i="11" s="1"/>
  <c r="U93" i="11"/>
  <c r="V93" i="11" s="1"/>
  <c r="U94" i="11"/>
  <c r="V94" i="11" s="1"/>
  <c r="U95" i="11"/>
  <c r="V95" i="11" s="1"/>
  <c r="U96" i="11"/>
  <c r="V96" i="11" s="1"/>
  <c r="U97" i="11"/>
  <c r="V97" i="11" s="1"/>
  <c r="U98" i="11"/>
  <c r="V98" i="11" s="1"/>
  <c r="U99" i="11"/>
  <c r="V99" i="11" s="1"/>
  <c r="U100" i="11"/>
  <c r="V100" i="11" s="1"/>
  <c r="U101" i="11"/>
  <c r="V101" i="11" s="1"/>
  <c r="U102" i="11"/>
  <c r="V102" i="11" s="1"/>
  <c r="U103" i="11"/>
  <c r="V103" i="11" s="1"/>
  <c r="U104" i="11"/>
  <c r="V104" i="11" s="1"/>
  <c r="U105" i="11"/>
  <c r="V105" i="11" s="1"/>
  <c r="U106" i="11"/>
  <c r="V106" i="11" s="1"/>
  <c r="U107" i="11"/>
  <c r="V107" i="11" s="1"/>
  <c r="U108" i="11"/>
  <c r="V108" i="11" s="1"/>
  <c r="U109" i="11"/>
  <c r="V109" i="11" s="1"/>
  <c r="U110" i="11"/>
  <c r="V110" i="11" s="1"/>
  <c r="U111" i="11"/>
  <c r="V111" i="11" s="1"/>
  <c r="U112" i="11"/>
  <c r="V112" i="11" s="1"/>
  <c r="U113" i="11"/>
  <c r="V113" i="11" s="1"/>
  <c r="U114" i="11"/>
  <c r="V114" i="11" s="1"/>
  <c r="U115" i="11"/>
  <c r="V115" i="11" s="1"/>
  <c r="U116" i="11"/>
  <c r="V116" i="11" s="1"/>
  <c r="U117" i="11"/>
  <c r="V117" i="11" s="1"/>
  <c r="U118" i="11"/>
  <c r="V118" i="11" s="1"/>
  <c r="U119" i="11"/>
  <c r="V119" i="11" s="1"/>
  <c r="U120" i="11"/>
  <c r="V120" i="11" s="1"/>
  <c r="U121" i="11"/>
  <c r="V121" i="11" s="1"/>
  <c r="U122" i="11"/>
  <c r="V122" i="11" s="1"/>
  <c r="U123" i="11"/>
  <c r="V123" i="11" s="1"/>
  <c r="U124" i="11"/>
  <c r="V124" i="11" s="1"/>
  <c r="N4" i="12"/>
  <c r="O4" i="12" s="1"/>
  <c r="N5" i="12"/>
  <c r="O5" i="12" s="1"/>
  <c r="N6" i="12"/>
  <c r="O6" i="12" s="1"/>
  <c r="N7" i="12"/>
  <c r="O7" i="12" s="1"/>
  <c r="N8" i="12"/>
  <c r="O8" i="12" s="1"/>
  <c r="N9" i="12"/>
  <c r="O9" i="12" s="1"/>
  <c r="N10" i="12"/>
  <c r="O10" i="12" s="1"/>
  <c r="N11" i="12"/>
  <c r="O11" i="12" s="1"/>
  <c r="N12" i="12"/>
  <c r="O12" i="12" s="1"/>
  <c r="N13" i="12"/>
  <c r="O13" i="12" s="1"/>
  <c r="N14" i="12"/>
  <c r="O14" i="12" s="1"/>
  <c r="N15" i="12"/>
  <c r="O15" i="12" s="1"/>
  <c r="N16" i="12"/>
  <c r="O16" i="12" s="1"/>
  <c r="N17" i="12"/>
  <c r="O17" i="12" s="1"/>
  <c r="N18" i="12"/>
  <c r="O18" i="12" s="1"/>
  <c r="N19" i="12"/>
  <c r="O19" i="12" s="1"/>
  <c r="N20" i="12"/>
  <c r="O20" i="12" s="1"/>
  <c r="N21" i="12"/>
  <c r="O21" i="12" s="1"/>
  <c r="N22" i="12"/>
  <c r="O22" i="12" s="1"/>
  <c r="N23" i="12"/>
  <c r="O23" i="12" s="1"/>
  <c r="N24" i="12"/>
  <c r="O24" i="12" s="1"/>
  <c r="N25" i="12"/>
  <c r="O25" i="12" s="1"/>
  <c r="N26" i="12"/>
  <c r="O26" i="12" s="1"/>
  <c r="N27" i="12"/>
  <c r="O27" i="12" s="1"/>
  <c r="N28" i="12"/>
  <c r="O28" i="12" s="1"/>
  <c r="N29" i="12"/>
  <c r="O29" i="12" s="1"/>
  <c r="N30" i="12"/>
  <c r="O30" i="12" s="1"/>
  <c r="N31" i="12"/>
  <c r="O31" i="12" s="1"/>
  <c r="N32" i="12"/>
  <c r="O32" i="12" s="1"/>
  <c r="N33" i="12"/>
  <c r="O33" i="12" s="1"/>
  <c r="N34" i="12"/>
  <c r="O34" i="12" s="1"/>
  <c r="N35" i="12"/>
  <c r="O35" i="12" s="1"/>
  <c r="N36" i="12"/>
  <c r="O36" i="12" s="1"/>
  <c r="N37" i="12"/>
  <c r="O37" i="12" s="1"/>
  <c r="N38" i="12"/>
  <c r="O38" i="12" s="1"/>
  <c r="N39" i="12"/>
  <c r="O39" i="12" s="1"/>
  <c r="N40" i="12"/>
  <c r="O40" i="12" s="1"/>
  <c r="N41" i="12"/>
  <c r="O41" i="12" s="1"/>
  <c r="N42" i="12"/>
  <c r="O42" i="12" s="1"/>
  <c r="N43" i="12"/>
  <c r="O43" i="12" s="1"/>
  <c r="N44" i="12"/>
  <c r="O44" i="12" s="1"/>
  <c r="N45" i="12"/>
  <c r="O45" i="12" s="1"/>
  <c r="N46" i="12"/>
  <c r="O46" i="12" s="1"/>
  <c r="N47" i="12"/>
  <c r="O47" i="12" s="1"/>
  <c r="N48" i="12"/>
  <c r="O48" i="12" s="1"/>
  <c r="N49" i="12"/>
  <c r="O49" i="12" s="1"/>
  <c r="N50" i="12"/>
  <c r="O50" i="12" s="1"/>
  <c r="N51" i="12"/>
  <c r="O51" i="12" s="1"/>
  <c r="N52" i="12"/>
  <c r="O52" i="12" s="1"/>
  <c r="N53" i="12"/>
  <c r="O53" i="12" s="1"/>
  <c r="N54" i="12"/>
  <c r="O54" i="12" s="1"/>
  <c r="N55" i="12"/>
  <c r="O55" i="12" s="1"/>
  <c r="N56" i="12"/>
  <c r="O56" i="12" s="1"/>
  <c r="N57" i="12"/>
  <c r="O57" i="12" s="1"/>
  <c r="N58" i="12"/>
  <c r="O58" i="12" s="1"/>
  <c r="N59" i="12"/>
  <c r="O59" i="12" s="1"/>
  <c r="N60" i="12"/>
  <c r="O60" i="12" s="1"/>
  <c r="N61" i="12"/>
  <c r="O61" i="12" s="1"/>
  <c r="N62" i="12"/>
  <c r="O62" i="12" s="1"/>
  <c r="N63" i="12"/>
  <c r="O63" i="12" s="1"/>
  <c r="N64" i="12"/>
  <c r="O64" i="12" s="1"/>
  <c r="N65" i="12"/>
  <c r="O65" i="12" s="1"/>
  <c r="N66" i="12"/>
  <c r="O66" i="12" s="1"/>
  <c r="N67" i="12"/>
  <c r="O67" i="12" s="1"/>
  <c r="N68" i="12"/>
  <c r="O68" i="12" s="1"/>
  <c r="N69" i="12"/>
  <c r="O69" i="12" s="1"/>
  <c r="N70" i="12"/>
  <c r="O70" i="12" s="1"/>
  <c r="N71" i="12"/>
  <c r="O71" i="12" s="1"/>
  <c r="N72" i="12"/>
  <c r="O72" i="12" s="1"/>
  <c r="N73" i="12"/>
  <c r="O73" i="12" s="1"/>
  <c r="N74" i="12"/>
  <c r="O74" i="12" s="1"/>
  <c r="N75" i="12"/>
  <c r="O75" i="12" s="1"/>
  <c r="N76" i="12"/>
  <c r="O76" i="12" s="1"/>
  <c r="N77" i="12"/>
  <c r="O77" i="12" s="1"/>
  <c r="N78" i="12"/>
  <c r="O78" i="12" s="1"/>
  <c r="N79" i="12"/>
  <c r="O79" i="12" s="1"/>
  <c r="N80" i="12"/>
  <c r="O80" i="12" s="1"/>
  <c r="N81" i="12"/>
  <c r="O81" i="12" s="1"/>
  <c r="N82" i="12"/>
  <c r="O82" i="12" s="1"/>
  <c r="N83" i="12"/>
  <c r="O83" i="12" s="1"/>
  <c r="N84" i="12"/>
  <c r="O84" i="12" s="1"/>
  <c r="N85" i="12"/>
  <c r="O85" i="12" s="1"/>
  <c r="N86" i="12"/>
  <c r="O86" i="12" s="1"/>
  <c r="N87" i="12"/>
  <c r="O87" i="12" s="1"/>
  <c r="N88" i="12"/>
  <c r="O88" i="12" s="1"/>
  <c r="N89" i="12"/>
  <c r="O89" i="12" s="1"/>
  <c r="N90" i="12"/>
  <c r="O90" i="12" s="1"/>
  <c r="N91" i="12"/>
  <c r="O91" i="12" s="1"/>
  <c r="N92" i="12"/>
  <c r="O92" i="12" s="1"/>
  <c r="N93" i="12"/>
  <c r="O93" i="12" s="1"/>
  <c r="N94" i="12"/>
  <c r="O94" i="12" s="1"/>
  <c r="N95" i="12"/>
  <c r="O95" i="12" s="1"/>
  <c r="N96" i="12"/>
  <c r="O96" i="12" s="1"/>
  <c r="N97" i="12"/>
  <c r="O97" i="12" s="1"/>
  <c r="N98" i="12"/>
  <c r="O98" i="12" s="1"/>
  <c r="N99" i="12"/>
  <c r="O99" i="12" s="1"/>
  <c r="N100" i="12"/>
  <c r="O100" i="12" s="1"/>
  <c r="N101" i="12"/>
  <c r="O101" i="12" s="1"/>
  <c r="N102" i="12"/>
  <c r="O102" i="12" s="1"/>
  <c r="N103" i="12"/>
  <c r="O103" i="12" s="1"/>
  <c r="N104" i="12"/>
  <c r="O104" i="12" s="1"/>
  <c r="N105" i="12"/>
  <c r="O105" i="12" s="1"/>
  <c r="N106" i="12"/>
  <c r="O106" i="12" s="1"/>
  <c r="N107" i="12"/>
  <c r="O107" i="12" s="1"/>
  <c r="N108" i="12"/>
  <c r="O108" i="12" s="1"/>
  <c r="N109" i="12"/>
  <c r="O109" i="12" s="1"/>
  <c r="N110" i="12"/>
  <c r="O110" i="12" s="1"/>
  <c r="N111" i="12"/>
  <c r="O111" i="12" s="1"/>
  <c r="N112" i="12"/>
  <c r="O112" i="12" s="1"/>
  <c r="N113" i="12"/>
  <c r="O113" i="12" s="1"/>
  <c r="N114" i="12"/>
  <c r="O114" i="12" s="1"/>
  <c r="N115" i="12"/>
  <c r="O115" i="12" s="1"/>
  <c r="N116" i="12"/>
  <c r="O116" i="12" s="1"/>
  <c r="N117" i="12"/>
  <c r="O117" i="12" s="1"/>
  <c r="N118" i="12"/>
  <c r="O118" i="12" s="1"/>
  <c r="N119" i="12"/>
  <c r="O119" i="12" s="1"/>
  <c r="N120" i="12"/>
  <c r="O120" i="12" s="1"/>
  <c r="N121" i="12"/>
  <c r="O121" i="12" s="1"/>
  <c r="N122" i="12"/>
  <c r="O122" i="12" s="1"/>
  <c r="N123" i="12"/>
  <c r="O123" i="12" s="1"/>
  <c r="N124" i="12"/>
  <c r="O124" i="12" s="1"/>
  <c r="O2" i="14"/>
  <c r="O3" i="14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Q2" i="14"/>
  <c r="Q3" i="14"/>
  <c r="Q4" i="14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Q57" i="14"/>
  <c r="Q58" i="14"/>
  <c r="Q59" i="14"/>
  <c r="Q60" i="14"/>
  <c r="Q61" i="14"/>
  <c r="Q62" i="14"/>
  <c r="Q63" i="14"/>
  <c r="Q64" i="14"/>
  <c r="Q65" i="14"/>
  <c r="Q66" i="14"/>
  <c r="Q67" i="14"/>
  <c r="Q68" i="14"/>
  <c r="Q69" i="14"/>
  <c r="Q70" i="14"/>
  <c r="Q71" i="14"/>
  <c r="Q72" i="14"/>
  <c r="Q73" i="14"/>
  <c r="Q74" i="14"/>
  <c r="Q75" i="14"/>
  <c r="Q76" i="14"/>
  <c r="Q77" i="14"/>
  <c r="Q78" i="14"/>
  <c r="Q79" i="14"/>
  <c r="Q80" i="14"/>
  <c r="Q81" i="14"/>
  <c r="Q82" i="14"/>
  <c r="Q83" i="14"/>
  <c r="Q84" i="14"/>
  <c r="Q85" i="14"/>
  <c r="Q86" i="14"/>
  <c r="Q87" i="14"/>
  <c r="Q88" i="14"/>
  <c r="Q89" i="14"/>
  <c r="Q90" i="14"/>
  <c r="Q91" i="14"/>
  <c r="Q92" i="14"/>
  <c r="Q93" i="14"/>
  <c r="Q94" i="14"/>
  <c r="Q95" i="14"/>
  <c r="Q96" i="14"/>
  <c r="Q97" i="14"/>
  <c r="Q98" i="14"/>
  <c r="Q99" i="14"/>
  <c r="Q100" i="14"/>
  <c r="Q101" i="14"/>
  <c r="Q102" i="14"/>
  <c r="Q103" i="14"/>
  <c r="Q104" i="14"/>
  <c r="Q105" i="14"/>
  <c r="Q106" i="14"/>
  <c r="Q107" i="14"/>
  <c r="Q108" i="14"/>
  <c r="Q109" i="14"/>
  <c r="Q110" i="14"/>
  <c r="Q111" i="14"/>
  <c r="Q112" i="14"/>
  <c r="Q113" i="14"/>
  <c r="Q114" i="14"/>
  <c r="Q115" i="14"/>
  <c r="Q116" i="14"/>
  <c r="Q117" i="14"/>
  <c r="P2" i="14"/>
  <c r="P3" i="14"/>
  <c r="P4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104" i="14"/>
  <c r="P105" i="14"/>
  <c r="P106" i="14"/>
  <c r="P107" i="14"/>
  <c r="P108" i="14"/>
  <c r="P109" i="14"/>
  <c r="P110" i="14"/>
  <c r="P111" i="14"/>
  <c r="P112" i="14"/>
  <c r="P113" i="14"/>
  <c r="P114" i="14"/>
  <c r="P115" i="14"/>
  <c r="P116" i="14"/>
  <c r="P117" i="14"/>
  <c r="N2" i="14"/>
  <c r="N3" i="14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114" i="14"/>
  <c r="N115" i="14"/>
  <c r="N116" i="14"/>
  <c r="N117" i="14"/>
  <c r="O4" i="11" l="1"/>
  <c r="P4" i="11" s="1"/>
  <c r="O31" i="11"/>
  <c r="P31" i="11" s="1"/>
  <c r="O23" i="11"/>
  <c r="P23" i="11" s="1"/>
  <c r="O15" i="11"/>
  <c r="P15" i="11" s="1"/>
  <c r="O6" i="11"/>
  <c r="P6" i="11" s="1"/>
  <c r="O25" i="11"/>
  <c r="P25" i="11" s="1"/>
  <c r="O5" i="11"/>
  <c r="P5" i="11" s="1"/>
  <c r="O8" i="11"/>
  <c r="P8" i="11" s="1"/>
  <c r="O20" i="11"/>
  <c r="P20" i="11" s="1"/>
  <c r="O14" i="11"/>
  <c r="P14" i="11" s="1"/>
  <c r="O54" i="11"/>
  <c r="P54" i="11" s="1"/>
  <c r="O21" i="11"/>
  <c r="P21" i="11" s="1"/>
  <c r="O7" i="11"/>
  <c r="P7" i="11" s="1"/>
  <c r="O10" i="11"/>
  <c r="P10" i="11" s="1"/>
  <c r="O27" i="11"/>
  <c r="P27" i="11" s="1"/>
  <c r="O33" i="11"/>
  <c r="P33" i="11" s="1"/>
  <c r="O24" i="11"/>
  <c r="P24" i="11" s="1"/>
  <c r="O11" i="11"/>
  <c r="P11" i="11" s="1"/>
  <c r="O26" i="11"/>
  <c r="P26" i="11" s="1"/>
  <c r="O62" i="11"/>
  <c r="P62" i="11" s="1"/>
  <c r="O43" i="11"/>
  <c r="P43" i="11" s="1"/>
  <c r="O55" i="11"/>
  <c r="P55" i="11" s="1"/>
  <c r="O69" i="11"/>
  <c r="P69" i="11" s="1"/>
  <c r="O17" i="11"/>
  <c r="P17" i="11" s="1"/>
  <c r="O13" i="11"/>
  <c r="P13" i="11" s="1"/>
  <c r="O51" i="11"/>
  <c r="P51" i="11" s="1"/>
  <c r="O18" i="11"/>
  <c r="P18" i="11" s="1"/>
  <c r="O28" i="11"/>
  <c r="P28" i="11" s="1"/>
  <c r="O41" i="11"/>
  <c r="P41" i="11" s="1"/>
  <c r="O9" i="11"/>
  <c r="P9" i="11" s="1"/>
  <c r="O47" i="11"/>
  <c r="P47" i="11" s="1"/>
  <c r="O40" i="11"/>
  <c r="P40" i="11" s="1"/>
  <c r="O16" i="11"/>
  <c r="P16" i="11" s="1"/>
  <c r="O64" i="11"/>
  <c r="P64" i="11" s="1"/>
  <c r="O36" i="11"/>
  <c r="P36" i="11" s="1"/>
  <c r="O22" i="11"/>
  <c r="P22" i="11" s="1"/>
  <c r="O45" i="11"/>
  <c r="P45" i="11" s="1"/>
  <c r="O29" i="11"/>
  <c r="P29" i="11" s="1"/>
  <c r="O39" i="11"/>
  <c r="P39" i="11" s="1"/>
  <c r="O77" i="11"/>
  <c r="P77" i="11" s="1"/>
  <c r="O35" i="11"/>
  <c r="P35" i="11" s="1"/>
  <c r="O81" i="11"/>
  <c r="P81" i="11" s="1"/>
  <c r="O66" i="11"/>
  <c r="P66" i="11" s="1"/>
  <c r="O30" i="11"/>
  <c r="P30" i="11" s="1"/>
  <c r="O46" i="11"/>
  <c r="P46" i="11" s="1"/>
  <c r="O92" i="11"/>
  <c r="P92" i="11" s="1"/>
  <c r="O83" i="11"/>
  <c r="P83" i="11" s="1"/>
  <c r="O56" i="11"/>
  <c r="P56" i="11" s="1"/>
  <c r="O52" i="11"/>
  <c r="P52" i="11" s="1"/>
  <c r="O89" i="11"/>
  <c r="P89" i="11" s="1"/>
  <c r="O97" i="11"/>
  <c r="P97" i="11" s="1"/>
  <c r="O19" i="11"/>
  <c r="P19" i="11" s="1"/>
  <c r="O73" i="11"/>
  <c r="P73" i="11" s="1"/>
  <c r="O75" i="11"/>
  <c r="P75" i="11" s="1"/>
  <c r="O79" i="11"/>
  <c r="P79" i="11" s="1"/>
  <c r="O65" i="11"/>
  <c r="P65" i="11" s="1"/>
  <c r="O49" i="11"/>
  <c r="P49" i="11" s="1"/>
  <c r="O44" i="11"/>
  <c r="P44" i="11" s="1"/>
  <c r="O63" i="11"/>
  <c r="P63" i="11" s="1"/>
  <c r="O98" i="11"/>
  <c r="P98" i="11" s="1"/>
  <c r="O85" i="11"/>
  <c r="P85" i="11" s="1"/>
  <c r="O71" i="11"/>
  <c r="P71" i="11" s="1"/>
  <c r="O90" i="11"/>
  <c r="P90" i="11" s="1"/>
  <c r="O38" i="11"/>
  <c r="P38" i="11" s="1"/>
  <c r="O60" i="11"/>
  <c r="P60" i="11" s="1"/>
  <c r="O101" i="11"/>
  <c r="P101" i="11" s="1"/>
  <c r="O37" i="11"/>
  <c r="P37" i="11" s="1"/>
  <c r="O50" i="11"/>
  <c r="P50" i="11" s="1"/>
  <c r="O61" i="11"/>
  <c r="P61" i="11" s="1"/>
  <c r="O102" i="11"/>
  <c r="P102" i="11" s="1"/>
  <c r="O103" i="11"/>
  <c r="P103" i="11" s="1"/>
  <c r="O67" i="11"/>
  <c r="P67" i="11" s="1"/>
  <c r="O104" i="11"/>
  <c r="P104" i="11" s="1"/>
  <c r="O32" i="11"/>
  <c r="P32" i="11" s="1"/>
  <c r="O105" i="11"/>
  <c r="P105" i="11" s="1"/>
  <c r="O106" i="11"/>
  <c r="P106" i="11" s="1"/>
  <c r="O72" i="11"/>
  <c r="P72" i="11" s="1"/>
  <c r="O84" i="11"/>
  <c r="P84" i="11" s="1"/>
  <c r="O107" i="11"/>
  <c r="P107" i="11" s="1"/>
  <c r="O108" i="11"/>
  <c r="P108" i="11" s="1"/>
  <c r="O42" i="11"/>
  <c r="P42" i="11" s="1"/>
  <c r="O109" i="11"/>
  <c r="P109" i="11" s="1"/>
  <c r="O78" i="11"/>
  <c r="P78" i="11" s="1"/>
  <c r="O57" i="11"/>
  <c r="P57" i="11" s="1"/>
  <c r="O34" i="11"/>
  <c r="P34" i="11" s="1"/>
  <c r="O58" i="11"/>
  <c r="P58" i="11" s="1"/>
  <c r="O91" i="11"/>
  <c r="P91" i="11" s="1"/>
  <c r="O70" i="11"/>
  <c r="P70" i="11" s="1"/>
  <c r="O68" i="11"/>
  <c r="P68" i="11" s="1"/>
  <c r="O88" i="11"/>
  <c r="P88" i="11" s="1"/>
  <c r="O87" i="11"/>
  <c r="P87" i="11" s="1"/>
  <c r="O110" i="11"/>
  <c r="P110" i="11" s="1"/>
  <c r="O74" i="11"/>
  <c r="P74" i="11" s="1"/>
  <c r="O82" i="11"/>
  <c r="P82" i="11" s="1"/>
  <c r="O86" i="11"/>
  <c r="P86" i="11" s="1"/>
  <c r="O93" i="11"/>
  <c r="P93" i="11" s="1"/>
  <c r="O100" i="11"/>
  <c r="P100" i="11" s="1"/>
  <c r="O111" i="11"/>
  <c r="P111" i="11" s="1"/>
  <c r="O59" i="11"/>
  <c r="P59" i="11" s="1"/>
  <c r="O94" i="11"/>
  <c r="P94" i="11" s="1"/>
  <c r="O112" i="11"/>
  <c r="P112" i="11" s="1"/>
  <c r="O113" i="11"/>
  <c r="P113" i="11" s="1"/>
  <c r="O114" i="11"/>
  <c r="P114" i="11" s="1"/>
  <c r="O115" i="11"/>
  <c r="P115" i="11" s="1"/>
  <c r="O48" i="11"/>
  <c r="P48" i="11" s="1"/>
  <c r="O116" i="11"/>
  <c r="P116" i="11" s="1"/>
  <c r="O117" i="11"/>
  <c r="P117" i="11" s="1"/>
  <c r="O95" i="11"/>
  <c r="P95" i="11" s="1"/>
  <c r="O12" i="11"/>
  <c r="P12" i="11" s="1"/>
  <c r="O53" i="11"/>
  <c r="P53" i="11" s="1"/>
  <c r="O80" i="11"/>
  <c r="P80" i="11" s="1"/>
  <c r="O118" i="11"/>
  <c r="P118" i="11" s="1"/>
  <c r="O76" i="11"/>
  <c r="P76" i="11" s="1"/>
  <c r="O119" i="11"/>
  <c r="P119" i="11" s="1"/>
  <c r="O120" i="11"/>
  <c r="P120" i="11" s="1"/>
  <c r="O96" i="11"/>
  <c r="P96" i="11" s="1"/>
  <c r="O99" i="11"/>
  <c r="P99" i="11" s="1"/>
  <c r="O121" i="11"/>
  <c r="P121" i="11" s="1"/>
  <c r="O122" i="11"/>
  <c r="P122" i="11" s="1"/>
  <c r="O123" i="11"/>
  <c r="P123" i="11" s="1"/>
  <c r="O124" i="11"/>
  <c r="P124" i="11" s="1"/>
  <c r="L4" i="12"/>
  <c r="M4" i="12" s="1"/>
  <c r="L5" i="12"/>
  <c r="M5" i="12" s="1"/>
  <c r="L6" i="12"/>
  <c r="M6" i="12" s="1"/>
  <c r="L7" i="12"/>
  <c r="M7" i="12" s="1"/>
  <c r="L8" i="12"/>
  <c r="M8" i="12" s="1"/>
  <c r="L9" i="12"/>
  <c r="M9" i="12" s="1"/>
  <c r="L10" i="12"/>
  <c r="M10" i="12" s="1"/>
  <c r="L11" i="12"/>
  <c r="M11" i="12" s="1"/>
  <c r="L12" i="12"/>
  <c r="M12" i="12" s="1"/>
  <c r="L13" i="12"/>
  <c r="M13" i="12" s="1"/>
  <c r="L14" i="12"/>
  <c r="M14" i="12" s="1"/>
  <c r="L15" i="12"/>
  <c r="M15" i="12" s="1"/>
  <c r="L16" i="12"/>
  <c r="M16" i="12" s="1"/>
  <c r="L17" i="12"/>
  <c r="M17" i="12" s="1"/>
  <c r="L18" i="12"/>
  <c r="M18" i="12" s="1"/>
  <c r="L19" i="12"/>
  <c r="M19" i="12" s="1"/>
  <c r="L20" i="12"/>
  <c r="M20" i="12" s="1"/>
  <c r="L21" i="12"/>
  <c r="M21" i="12" s="1"/>
  <c r="L22" i="12"/>
  <c r="M22" i="12" s="1"/>
  <c r="L23" i="12"/>
  <c r="M23" i="12" s="1"/>
  <c r="L24" i="12"/>
  <c r="M24" i="12" s="1"/>
  <c r="L25" i="12"/>
  <c r="M25" i="12" s="1"/>
  <c r="L26" i="12"/>
  <c r="M26" i="12" s="1"/>
  <c r="L27" i="12"/>
  <c r="M27" i="12" s="1"/>
  <c r="L28" i="12"/>
  <c r="M28" i="12" s="1"/>
  <c r="L29" i="12"/>
  <c r="M29" i="12" s="1"/>
  <c r="L30" i="12"/>
  <c r="M30" i="12" s="1"/>
  <c r="L31" i="12"/>
  <c r="M31" i="12" s="1"/>
  <c r="L32" i="12"/>
  <c r="M32" i="12" s="1"/>
  <c r="L33" i="12"/>
  <c r="M33" i="12" s="1"/>
  <c r="L34" i="12"/>
  <c r="M34" i="12" s="1"/>
  <c r="L35" i="12"/>
  <c r="M35" i="12" s="1"/>
  <c r="L36" i="12"/>
  <c r="M36" i="12" s="1"/>
  <c r="L37" i="12"/>
  <c r="M37" i="12" s="1"/>
  <c r="L38" i="12"/>
  <c r="M38" i="12" s="1"/>
  <c r="L39" i="12"/>
  <c r="M39" i="12" s="1"/>
  <c r="L40" i="12"/>
  <c r="M40" i="12" s="1"/>
  <c r="L41" i="12"/>
  <c r="M41" i="12" s="1"/>
  <c r="L42" i="12"/>
  <c r="M42" i="12" s="1"/>
  <c r="L43" i="12"/>
  <c r="M43" i="12" s="1"/>
  <c r="L44" i="12"/>
  <c r="M44" i="12" s="1"/>
  <c r="L45" i="12"/>
  <c r="M45" i="12" s="1"/>
  <c r="L46" i="12"/>
  <c r="M46" i="12" s="1"/>
  <c r="L47" i="12"/>
  <c r="M47" i="12" s="1"/>
  <c r="L48" i="12"/>
  <c r="M48" i="12" s="1"/>
  <c r="L49" i="12"/>
  <c r="M49" i="12" s="1"/>
  <c r="L50" i="12"/>
  <c r="M50" i="12" s="1"/>
  <c r="L51" i="12"/>
  <c r="M51" i="12" s="1"/>
  <c r="L52" i="12"/>
  <c r="M52" i="12" s="1"/>
  <c r="L53" i="12"/>
  <c r="M53" i="12" s="1"/>
  <c r="L54" i="12"/>
  <c r="M54" i="12" s="1"/>
  <c r="L55" i="12"/>
  <c r="M55" i="12" s="1"/>
  <c r="L56" i="12"/>
  <c r="M56" i="12" s="1"/>
  <c r="L57" i="12"/>
  <c r="M57" i="12" s="1"/>
  <c r="L58" i="12"/>
  <c r="M58" i="12" s="1"/>
  <c r="L59" i="12"/>
  <c r="M59" i="12" s="1"/>
  <c r="L60" i="12"/>
  <c r="M60" i="12" s="1"/>
  <c r="L61" i="12"/>
  <c r="M61" i="12" s="1"/>
  <c r="L62" i="12"/>
  <c r="M62" i="12" s="1"/>
  <c r="L63" i="12"/>
  <c r="M63" i="12" s="1"/>
  <c r="L64" i="12"/>
  <c r="M64" i="12" s="1"/>
  <c r="L65" i="12"/>
  <c r="M65" i="12" s="1"/>
  <c r="L66" i="12"/>
  <c r="M66" i="12" s="1"/>
  <c r="L67" i="12"/>
  <c r="M67" i="12" s="1"/>
  <c r="L68" i="12"/>
  <c r="M68" i="12" s="1"/>
  <c r="L69" i="12"/>
  <c r="M69" i="12" s="1"/>
  <c r="L70" i="12"/>
  <c r="M70" i="12" s="1"/>
  <c r="L71" i="12"/>
  <c r="M71" i="12" s="1"/>
  <c r="L72" i="12"/>
  <c r="M72" i="12" s="1"/>
  <c r="L73" i="12"/>
  <c r="M73" i="12" s="1"/>
  <c r="L74" i="12"/>
  <c r="M74" i="12" s="1"/>
  <c r="L75" i="12"/>
  <c r="M75" i="12" s="1"/>
  <c r="L76" i="12"/>
  <c r="M76" i="12" s="1"/>
  <c r="L77" i="12"/>
  <c r="M77" i="12" s="1"/>
  <c r="L78" i="12"/>
  <c r="M78" i="12" s="1"/>
  <c r="L79" i="12"/>
  <c r="M79" i="12" s="1"/>
  <c r="L80" i="12"/>
  <c r="M80" i="12" s="1"/>
  <c r="L81" i="12"/>
  <c r="M81" i="12" s="1"/>
  <c r="L82" i="12"/>
  <c r="M82" i="12" s="1"/>
  <c r="L83" i="12"/>
  <c r="M83" i="12" s="1"/>
  <c r="L84" i="12"/>
  <c r="M84" i="12" s="1"/>
  <c r="L85" i="12"/>
  <c r="M85" i="12" s="1"/>
  <c r="L86" i="12"/>
  <c r="M86" i="12" s="1"/>
  <c r="L87" i="12"/>
  <c r="M87" i="12" s="1"/>
  <c r="L88" i="12"/>
  <c r="M88" i="12" s="1"/>
  <c r="L89" i="12"/>
  <c r="M89" i="12" s="1"/>
  <c r="L90" i="12"/>
  <c r="M90" i="12" s="1"/>
  <c r="L91" i="12"/>
  <c r="M91" i="12" s="1"/>
  <c r="L92" i="12"/>
  <c r="M92" i="12" s="1"/>
  <c r="L93" i="12"/>
  <c r="M93" i="12" s="1"/>
  <c r="L94" i="12"/>
  <c r="M94" i="12" s="1"/>
  <c r="L95" i="12"/>
  <c r="M95" i="12" s="1"/>
  <c r="L96" i="12"/>
  <c r="M96" i="12" s="1"/>
  <c r="L97" i="12"/>
  <c r="M97" i="12" s="1"/>
  <c r="L98" i="12"/>
  <c r="M98" i="12" s="1"/>
  <c r="L99" i="12"/>
  <c r="M99" i="12" s="1"/>
  <c r="L100" i="12"/>
  <c r="M100" i="12" s="1"/>
  <c r="L101" i="12"/>
  <c r="M101" i="12" s="1"/>
  <c r="L102" i="12"/>
  <c r="M102" i="12" s="1"/>
  <c r="L103" i="12"/>
  <c r="M103" i="12" s="1"/>
  <c r="L104" i="12"/>
  <c r="M104" i="12" s="1"/>
  <c r="L105" i="12"/>
  <c r="M105" i="12" s="1"/>
  <c r="L106" i="12"/>
  <c r="M106" i="12" s="1"/>
  <c r="L107" i="12"/>
  <c r="M107" i="12" s="1"/>
  <c r="L108" i="12"/>
  <c r="M108" i="12" s="1"/>
  <c r="L109" i="12"/>
  <c r="M109" i="12" s="1"/>
  <c r="L110" i="12"/>
  <c r="M110" i="12" s="1"/>
  <c r="L111" i="12"/>
  <c r="M111" i="12" s="1"/>
  <c r="L112" i="12"/>
  <c r="M112" i="12" s="1"/>
  <c r="L113" i="12"/>
  <c r="M113" i="12" s="1"/>
  <c r="L114" i="12"/>
  <c r="M114" i="12" s="1"/>
  <c r="L115" i="12"/>
  <c r="M115" i="12" s="1"/>
  <c r="L116" i="12"/>
  <c r="M116" i="12" s="1"/>
  <c r="L117" i="12"/>
  <c r="M117" i="12" s="1"/>
  <c r="L118" i="12"/>
  <c r="M118" i="12" s="1"/>
  <c r="L119" i="12"/>
  <c r="M119" i="12" s="1"/>
  <c r="L120" i="12"/>
  <c r="M120" i="12" s="1"/>
  <c r="L121" i="12"/>
  <c r="M121" i="12" s="1"/>
  <c r="L122" i="12"/>
  <c r="M122" i="12" s="1"/>
  <c r="L123" i="12"/>
  <c r="M123" i="12" s="1"/>
  <c r="L124" i="12"/>
  <c r="M124" i="12" s="1"/>
  <c r="S4" i="11"/>
  <c r="T4" i="11" s="1"/>
  <c r="S31" i="11"/>
  <c r="T31" i="11" s="1"/>
  <c r="S23" i="11"/>
  <c r="T23" i="11" s="1"/>
  <c r="S15" i="11"/>
  <c r="T15" i="11" s="1"/>
  <c r="S6" i="11"/>
  <c r="T6" i="11" s="1"/>
  <c r="S25" i="11"/>
  <c r="T25" i="11" s="1"/>
  <c r="S5" i="11"/>
  <c r="T5" i="11" s="1"/>
  <c r="S8" i="11"/>
  <c r="T8" i="11" s="1"/>
  <c r="S20" i="11"/>
  <c r="T20" i="11" s="1"/>
  <c r="S14" i="11"/>
  <c r="T14" i="11" s="1"/>
  <c r="S54" i="11"/>
  <c r="T54" i="11" s="1"/>
  <c r="S21" i="11"/>
  <c r="T21" i="11" s="1"/>
  <c r="S7" i="11"/>
  <c r="T7" i="11" s="1"/>
  <c r="S10" i="11"/>
  <c r="T10" i="11" s="1"/>
  <c r="S27" i="11"/>
  <c r="T27" i="11" s="1"/>
  <c r="S33" i="11"/>
  <c r="T33" i="11" s="1"/>
  <c r="S24" i="11"/>
  <c r="T24" i="11" s="1"/>
  <c r="S11" i="11"/>
  <c r="T11" i="11" s="1"/>
  <c r="S26" i="11"/>
  <c r="T26" i="11" s="1"/>
  <c r="S62" i="11"/>
  <c r="T62" i="11" s="1"/>
  <c r="S43" i="11"/>
  <c r="T43" i="11" s="1"/>
  <c r="S55" i="11"/>
  <c r="T55" i="11" s="1"/>
  <c r="S69" i="11"/>
  <c r="T69" i="11" s="1"/>
  <c r="S17" i="11"/>
  <c r="T17" i="11" s="1"/>
  <c r="S13" i="11"/>
  <c r="T13" i="11" s="1"/>
  <c r="S51" i="11"/>
  <c r="T51" i="11" s="1"/>
  <c r="S18" i="11"/>
  <c r="T18" i="11" s="1"/>
  <c r="S28" i="11"/>
  <c r="T28" i="11" s="1"/>
  <c r="S41" i="11"/>
  <c r="T41" i="11" s="1"/>
  <c r="S9" i="11"/>
  <c r="T9" i="11" s="1"/>
  <c r="S47" i="11"/>
  <c r="T47" i="11" s="1"/>
  <c r="S40" i="11"/>
  <c r="T40" i="11" s="1"/>
  <c r="S16" i="11"/>
  <c r="T16" i="11" s="1"/>
  <c r="S64" i="11"/>
  <c r="T64" i="11" s="1"/>
  <c r="S36" i="11"/>
  <c r="T36" i="11" s="1"/>
  <c r="S22" i="11"/>
  <c r="T22" i="11" s="1"/>
  <c r="S45" i="11"/>
  <c r="T45" i="11" s="1"/>
  <c r="S29" i="11"/>
  <c r="T29" i="11" s="1"/>
  <c r="S39" i="11"/>
  <c r="T39" i="11" s="1"/>
  <c r="S77" i="11"/>
  <c r="T77" i="11" s="1"/>
  <c r="S35" i="11"/>
  <c r="T35" i="11" s="1"/>
  <c r="S81" i="11"/>
  <c r="T81" i="11" s="1"/>
  <c r="S66" i="11"/>
  <c r="T66" i="11" s="1"/>
  <c r="S30" i="11"/>
  <c r="T30" i="11" s="1"/>
  <c r="S46" i="11"/>
  <c r="T46" i="11" s="1"/>
  <c r="S92" i="11"/>
  <c r="T92" i="11" s="1"/>
  <c r="S83" i="11"/>
  <c r="T83" i="11" s="1"/>
  <c r="S56" i="11"/>
  <c r="T56" i="11" s="1"/>
  <c r="S52" i="11"/>
  <c r="T52" i="11" s="1"/>
  <c r="S89" i="11"/>
  <c r="T89" i="11" s="1"/>
  <c r="S97" i="11"/>
  <c r="T97" i="11" s="1"/>
  <c r="S19" i="11"/>
  <c r="T19" i="11" s="1"/>
  <c r="S73" i="11"/>
  <c r="T73" i="11" s="1"/>
  <c r="S75" i="11"/>
  <c r="T75" i="11" s="1"/>
  <c r="S79" i="11"/>
  <c r="T79" i="11" s="1"/>
  <c r="S65" i="11"/>
  <c r="T65" i="11" s="1"/>
  <c r="S49" i="11"/>
  <c r="T49" i="11" s="1"/>
  <c r="S44" i="11"/>
  <c r="T44" i="11" s="1"/>
  <c r="S63" i="11"/>
  <c r="T63" i="11" s="1"/>
  <c r="S98" i="11"/>
  <c r="T98" i="11" s="1"/>
  <c r="S85" i="11"/>
  <c r="T85" i="11" s="1"/>
  <c r="S71" i="11"/>
  <c r="T71" i="11" s="1"/>
  <c r="S90" i="11"/>
  <c r="T90" i="11" s="1"/>
  <c r="S38" i="11"/>
  <c r="T38" i="11" s="1"/>
  <c r="S60" i="11"/>
  <c r="T60" i="11" s="1"/>
  <c r="S101" i="11"/>
  <c r="T101" i="11" s="1"/>
  <c r="S37" i="11"/>
  <c r="T37" i="11" s="1"/>
  <c r="S50" i="11"/>
  <c r="T50" i="11" s="1"/>
  <c r="S61" i="11"/>
  <c r="T61" i="11" s="1"/>
  <c r="S102" i="11"/>
  <c r="T102" i="11" s="1"/>
  <c r="S103" i="11"/>
  <c r="T103" i="11" s="1"/>
  <c r="S67" i="11"/>
  <c r="T67" i="11" s="1"/>
  <c r="S104" i="11"/>
  <c r="T104" i="11" s="1"/>
  <c r="S32" i="11"/>
  <c r="T32" i="11" s="1"/>
  <c r="S105" i="11"/>
  <c r="T105" i="11" s="1"/>
  <c r="S106" i="11"/>
  <c r="T106" i="11" s="1"/>
  <c r="S72" i="11"/>
  <c r="T72" i="11" s="1"/>
  <c r="S84" i="11"/>
  <c r="T84" i="11" s="1"/>
  <c r="S107" i="11"/>
  <c r="T107" i="11" s="1"/>
  <c r="S108" i="11"/>
  <c r="T108" i="11" s="1"/>
  <c r="S42" i="11"/>
  <c r="T42" i="11" s="1"/>
  <c r="S109" i="11"/>
  <c r="T109" i="11" s="1"/>
  <c r="S78" i="11"/>
  <c r="T78" i="11" s="1"/>
  <c r="S57" i="11"/>
  <c r="T57" i="11" s="1"/>
  <c r="S34" i="11"/>
  <c r="T34" i="11" s="1"/>
  <c r="S58" i="11"/>
  <c r="T58" i="11" s="1"/>
  <c r="S91" i="11"/>
  <c r="T91" i="11" s="1"/>
  <c r="S70" i="11"/>
  <c r="T70" i="11" s="1"/>
  <c r="S68" i="11"/>
  <c r="T68" i="11" s="1"/>
  <c r="S88" i="11"/>
  <c r="T88" i="11" s="1"/>
  <c r="S87" i="11"/>
  <c r="T87" i="11" s="1"/>
  <c r="S110" i="11"/>
  <c r="T110" i="11" s="1"/>
  <c r="S74" i="11"/>
  <c r="T74" i="11" s="1"/>
  <c r="S82" i="11"/>
  <c r="T82" i="11" s="1"/>
  <c r="S86" i="11"/>
  <c r="T86" i="11" s="1"/>
  <c r="S93" i="11"/>
  <c r="T93" i="11" s="1"/>
  <c r="S100" i="11"/>
  <c r="T100" i="11" s="1"/>
  <c r="S111" i="11"/>
  <c r="T111" i="11" s="1"/>
  <c r="S59" i="11"/>
  <c r="T59" i="11" s="1"/>
  <c r="S94" i="11"/>
  <c r="T94" i="11" s="1"/>
  <c r="S112" i="11"/>
  <c r="T112" i="11" s="1"/>
  <c r="S113" i="11"/>
  <c r="T113" i="11" s="1"/>
  <c r="S114" i="11"/>
  <c r="T114" i="11" s="1"/>
  <c r="S115" i="11"/>
  <c r="T115" i="11" s="1"/>
  <c r="S48" i="11"/>
  <c r="T48" i="11" s="1"/>
  <c r="S116" i="11"/>
  <c r="T116" i="11" s="1"/>
  <c r="S117" i="11"/>
  <c r="T117" i="11" s="1"/>
  <c r="S95" i="11"/>
  <c r="T95" i="11" s="1"/>
  <c r="S12" i="11"/>
  <c r="T12" i="11" s="1"/>
  <c r="S53" i="11"/>
  <c r="T53" i="11" s="1"/>
  <c r="S80" i="11"/>
  <c r="T80" i="11" s="1"/>
  <c r="S118" i="11"/>
  <c r="T118" i="11" s="1"/>
  <c r="S76" i="11"/>
  <c r="T76" i="11" s="1"/>
  <c r="S119" i="11"/>
  <c r="T119" i="11" s="1"/>
  <c r="S120" i="11"/>
  <c r="T120" i="11" s="1"/>
  <c r="S96" i="11"/>
  <c r="T96" i="11" s="1"/>
  <c r="S99" i="11"/>
  <c r="T99" i="11" s="1"/>
  <c r="S121" i="11"/>
  <c r="T121" i="11" s="1"/>
  <c r="S122" i="11"/>
  <c r="T122" i="11" s="1"/>
  <c r="S123" i="11"/>
  <c r="T123" i="11" s="1"/>
  <c r="S124" i="11"/>
  <c r="T124" i="11" s="1"/>
  <c r="Q4" i="11"/>
  <c r="R4" i="11" s="1"/>
  <c r="Q31" i="11"/>
  <c r="R31" i="11" s="1"/>
  <c r="Q23" i="11"/>
  <c r="R23" i="11" s="1"/>
  <c r="Q15" i="11"/>
  <c r="R15" i="11" s="1"/>
  <c r="Q6" i="11"/>
  <c r="R6" i="11" s="1"/>
  <c r="Q25" i="11"/>
  <c r="R25" i="11" s="1"/>
  <c r="Q5" i="11"/>
  <c r="R5" i="11" s="1"/>
  <c r="Q8" i="11"/>
  <c r="R8" i="11" s="1"/>
  <c r="Q20" i="11"/>
  <c r="R20" i="11" s="1"/>
  <c r="Q14" i="11"/>
  <c r="R14" i="11" s="1"/>
  <c r="Q54" i="11"/>
  <c r="R54" i="11" s="1"/>
  <c r="Q21" i="11"/>
  <c r="R21" i="11" s="1"/>
  <c r="Q7" i="11"/>
  <c r="R7" i="11" s="1"/>
  <c r="Q10" i="11"/>
  <c r="R10" i="11" s="1"/>
  <c r="Q27" i="11"/>
  <c r="R27" i="11" s="1"/>
  <c r="Q33" i="11"/>
  <c r="R33" i="11" s="1"/>
  <c r="Q24" i="11"/>
  <c r="R24" i="11" s="1"/>
  <c r="Q11" i="11"/>
  <c r="R11" i="11" s="1"/>
  <c r="Q26" i="11"/>
  <c r="R26" i="11" s="1"/>
  <c r="Q62" i="11"/>
  <c r="R62" i="11" s="1"/>
  <c r="Q43" i="11"/>
  <c r="R43" i="11" s="1"/>
  <c r="Q55" i="11"/>
  <c r="R55" i="11" s="1"/>
  <c r="Q69" i="11"/>
  <c r="R69" i="11" s="1"/>
  <c r="Q17" i="11"/>
  <c r="R17" i="11" s="1"/>
  <c r="Q13" i="11"/>
  <c r="R13" i="11" s="1"/>
  <c r="Q51" i="11"/>
  <c r="R51" i="11" s="1"/>
  <c r="Q18" i="11"/>
  <c r="R18" i="11" s="1"/>
  <c r="Q28" i="11"/>
  <c r="R28" i="11" s="1"/>
  <c r="Q41" i="11"/>
  <c r="R41" i="11" s="1"/>
  <c r="Q9" i="11"/>
  <c r="R9" i="11" s="1"/>
  <c r="Q47" i="11"/>
  <c r="R47" i="11" s="1"/>
  <c r="Q40" i="11"/>
  <c r="R40" i="11" s="1"/>
  <c r="Q16" i="11"/>
  <c r="R16" i="11" s="1"/>
  <c r="Q64" i="11"/>
  <c r="R64" i="11" s="1"/>
  <c r="Q36" i="11"/>
  <c r="R36" i="11" s="1"/>
  <c r="Q22" i="11"/>
  <c r="R22" i="11" s="1"/>
  <c r="Q45" i="11"/>
  <c r="R45" i="11" s="1"/>
  <c r="Q29" i="11"/>
  <c r="R29" i="11" s="1"/>
  <c r="Q39" i="11"/>
  <c r="R39" i="11" s="1"/>
  <c r="Q77" i="11"/>
  <c r="R77" i="11" s="1"/>
  <c r="Q35" i="11"/>
  <c r="R35" i="11" s="1"/>
  <c r="Q81" i="11"/>
  <c r="R81" i="11" s="1"/>
  <c r="Q66" i="11"/>
  <c r="R66" i="11" s="1"/>
  <c r="Q30" i="11"/>
  <c r="R30" i="11" s="1"/>
  <c r="Q46" i="11"/>
  <c r="R46" i="11" s="1"/>
  <c r="Q92" i="11"/>
  <c r="R92" i="11" s="1"/>
  <c r="Q83" i="11"/>
  <c r="R83" i="11" s="1"/>
  <c r="Q56" i="11"/>
  <c r="R56" i="11" s="1"/>
  <c r="Q52" i="11"/>
  <c r="R52" i="11" s="1"/>
  <c r="Q89" i="11"/>
  <c r="R89" i="11" s="1"/>
  <c r="Q97" i="11"/>
  <c r="R97" i="11" s="1"/>
  <c r="Q19" i="11"/>
  <c r="R19" i="11" s="1"/>
  <c r="Q73" i="11"/>
  <c r="R73" i="11" s="1"/>
  <c r="Q75" i="11"/>
  <c r="R75" i="11" s="1"/>
  <c r="Q79" i="11"/>
  <c r="R79" i="11" s="1"/>
  <c r="Q65" i="11"/>
  <c r="R65" i="11" s="1"/>
  <c r="Q49" i="11"/>
  <c r="R49" i="11" s="1"/>
  <c r="Q44" i="11"/>
  <c r="R44" i="11" s="1"/>
  <c r="Q63" i="11"/>
  <c r="R63" i="11" s="1"/>
  <c r="Q98" i="11"/>
  <c r="R98" i="11" s="1"/>
  <c r="Q85" i="11"/>
  <c r="R85" i="11" s="1"/>
  <c r="Q71" i="11"/>
  <c r="R71" i="11" s="1"/>
  <c r="Q90" i="11"/>
  <c r="R90" i="11" s="1"/>
  <c r="Q38" i="11"/>
  <c r="R38" i="11" s="1"/>
  <c r="Q60" i="11"/>
  <c r="R60" i="11" s="1"/>
  <c r="Q101" i="11"/>
  <c r="R101" i="11" s="1"/>
  <c r="Q37" i="11"/>
  <c r="R37" i="11" s="1"/>
  <c r="Q50" i="11"/>
  <c r="R50" i="11" s="1"/>
  <c r="Q61" i="11"/>
  <c r="R61" i="11" s="1"/>
  <c r="Q102" i="11"/>
  <c r="R102" i="11" s="1"/>
  <c r="Q103" i="11"/>
  <c r="R103" i="11" s="1"/>
  <c r="Q67" i="11"/>
  <c r="R67" i="11" s="1"/>
  <c r="Q104" i="11"/>
  <c r="R104" i="11" s="1"/>
  <c r="Q32" i="11"/>
  <c r="R32" i="11" s="1"/>
  <c r="Q105" i="11"/>
  <c r="R105" i="11" s="1"/>
  <c r="Q106" i="11"/>
  <c r="R106" i="11" s="1"/>
  <c r="Q72" i="11"/>
  <c r="R72" i="11" s="1"/>
  <c r="Q84" i="11"/>
  <c r="R84" i="11" s="1"/>
  <c r="Q107" i="11"/>
  <c r="R107" i="11" s="1"/>
  <c r="Q108" i="11"/>
  <c r="R108" i="11" s="1"/>
  <c r="Q42" i="11"/>
  <c r="R42" i="11" s="1"/>
  <c r="Q109" i="11"/>
  <c r="R109" i="11" s="1"/>
  <c r="Q78" i="11"/>
  <c r="R78" i="11" s="1"/>
  <c r="Q57" i="11"/>
  <c r="R57" i="11" s="1"/>
  <c r="Q34" i="11"/>
  <c r="R34" i="11" s="1"/>
  <c r="Q58" i="11"/>
  <c r="R58" i="11" s="1"/>
  <c r="Q91" i="11"/>
  <c r="R91" i="11" s="1"/>
  <c r="Q70" i="11"/>
  <c r="R70" i="11" s="1"/>
  <c r="Q68" i="11"/>
  <c r="R68" i="11" s="1"/>
  <c r="Q88" i="11"/>
  <c r="R88" i="11" s="1"/>
  <c r="Q87" i="11"/>
  <c r="R87" i="11" s="1"/>
  <c r="Q110" i="11"/>
  <c r="R110" i="11" s="1"/>
  <c r="Q74" i="11"/>
  <c r="R74" i="11" s="1"/>
  <c r="Q82" i="11"/>
  <c r="R82" i="11" s="1"/>
  <c r="Q86" i="11"/>
  <c r="R86" i="11" s="1"/>
  <c r="Q93" i="11"/>
  <c r="R93" i="11" s="1"/>
  <c r="Q100" i="11"/>
  <c r="R100" i="11" s="1"/>
  <c r="Q111" i="11"/>
  <c r="R111" i="11" s="1"/>
  <c r="Q59" i="11"/>
  <c r="R59" i="11" s="1"/>
  <c r="Q94" i="11"/>
  <c r="R94" i="11" s="1"/>
  <c r="Q112" i="11"/>
  <c r="R112" i="11" s="1"/>
  <c r="Q113" i="11"/>
  <c r="R113" i="11" s="1"/>
  <c r="Q114" i="11"/>
  <c r="R114" i="11" s="1"/>
  <c r="Q115" i="11"/>
  <c r="R115" i="11" s="1"/>
  <c r="Q48" i="11"/>
  <c r="R48" i="11" s="1"/>
  <c r="Q116" i="11"/>
  <c r="R116" i="11" s="1"/>
  <c r="Q117" i="11"/>
  <c r="R117" i="11" s="1"/>
  <c r="Q95" i="11"/>
  <c r="R95" i="11" s="1"/>
  <c r="Q12" i="11"/>
  <c r="R12" i="11" s="1"/>
  <c r="Q53" i="11"/>
  <c r="R53" i="11" s="1"/>
  <c r="Q80" i="11"/>
  <c r="R80" i="11" s="1"/>
  <c r="Q118" i="11"/>
  <c r="R118" i="11" s="1"/>
  <c r="Q76" i="11"/>
  <c r="R76" i="11" s="1"/>
  <c r="Q119" i="11"/>
  <c r="R119" i="11" s="1"/>
  <c r="Q120" i="11"/>
  <c r="R120" i="11" s="1"/>
  <c r="Q96" i="11"/>
  <c r="R96" i="11" s="1"/>
  <c r="Q99" i="11"/>
  <c r="R99" i="11" s="1"/>
  <c r="Q121" i="11"/>
  <c r="R121" i="11" s="1"/>
  <c r="Q122" i="11"/>
  <c r="R122" i="11" s="1"/>
  <c r="Q123" i="11"/>
  <c r="R123" i="11" s="1"/>
  <c r="Q124" i="11"/>
  <c r="R124" i="11" s="1"/>
  <c r="N2" i="13"/>
  <c r="N3" i="13"/>
  <c r="N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102" i="13"/>
  <c r="N103" i="13"/>
  <c r="N104" i="13"/>
  <c r="N105" i="13"/>
  <c r="N106" i="13"/>
  <c r="N107" i="13"/>
  <c r="N108" i="13"/>
  <c r="N109" i="13"/>
  <c r="N110" i="13"/>
  <c r="N111" i="13"/>
  <c r="N112" i="13"/>
  <c r="N113" i="13"/>
  <c r="N114" i="13"/>
  <c r="Q2" i="13"/>
  <c r="Q3" i="13"/>
  <c r="Q4" i="13"/>
  <c r="Q5" i="13"/>
  <c r="Q6" i="13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102" i="13"/>
  <c r="Q103" i="13"/>
  <c r="Q104" i="13"/>
  <c r="Q105" i="13"/>
  <c r="Q106" i="13"/>
  <c r="Q107" i="13"/>
  <c r="Q108" i="13"/>
  <c r="Q109" i="13"/>
  <c r="Q110" i="13"/>
  <c r="Q111" i="13"/>
  <c r="Q112" i="13"/>
  <c r="Q113" i="13"/>
  <c r="Q114" i="13"/>
  <c r="P2" i="13"/>
  <c r="P3" i="13"/>
  <c r="P4" i="13"/>
  <c r="P5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O2" i="13"/>
  <c r="O3" i="13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113" i="13"/>
  <c r="O114" i="13"/>
  <c r="M2" i="13"/>
  <c r="M3" i="13"/>
  <c r="M4" i="13"/>
  <c r="M5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L5" i="10" l="1"/>
  <c r="L7" i="10"/>
  <c r="L4" i="10"/>
  <c r="L8" i="10"/>
  <c r="L6" i="10"/>
  <c r="L17" i="10"/>
  <c r="L11" i="10"/>
  <c r="L12" i="10"/>
  <c r="L19" i="10"/>
  <c r="L9" i="10"/>
  <c r="L10" i="10"/>
  <c r="L14" i="10"/>
  <c r="L20" i="10"/>
  <c r="L15" i="10"/>
  <c r="S17" i="10" s="1"/>
  <c r="L16" i="10"/>
  <c r="L21" i="10"/>
  <c r="L18" i="10"/>
  <c r="L13" i="10"/>
  <c r="L26" i="10"/>
  <c r="L41" i="10"/>
  <c r="L37" i="10"/>
  <c r="L34" i="10"/>
  <c r="L39" i="10"/>
  <c r="L28" i="10"/>
  <c r="L32" i="10"/>
  <c r="L33" i="10"/>
  <c r="L23" i="10"/>
  <c r="L25" i="10"/>
  <c r="L36" i="10"/>
  <c r="L30" i="10"/>
  <c r="L43" i="10"/>
  <c r="L31" i="10"/>
  <c r="L22" i="10"/>
  <c r="L44" i="10"/>
  <c r="L50" i="10"/>
  <c r="L38" i="10"/>
  <c r="L40" i="10"/>
  <c r="S40" i="10" s="1"/>
  <c r="L27" i="10"/>
  <c r="L35" i="10"/>
  <c r="L53" i="10"/>
  <c r="L46" i="10"/>
  <c r="L64" i="10"/>
  <c r="L59" i="10"/>
  <c r="L47" i="10"/>
  <c r="S47" i="10" s="1"/>
  <c r="L24" i="10"/>
  <c r="L67" i="10"/>
  <c r="L61" i="10"/>
  <c r="L49" i="10"/>
  <c r="L42" i="10"/>
  <c r="L72" i="10"/>
  <c r="L70" i="10"/>
  <c r="L62" i="10"/>
  <c r="L77" i="10"/>
  <c r="L52" i="10"/>
  <c r="L74" i="10"/>
  <c r="L51" i="10"/>
  <c r="L29" i="10"/>
  <c r="L54" i="10"/>
  <c r="L48" i="10"/>
  <c r="L75" i="10"/>
  <c r="L80" i="10"/>
  <c r="L56" i="10"/>
  <c r="L57" i="10"/>
  <c r="L69" i="10"/>
  <c r="L55" i="10"/>
  <c r="L79" i="10"/>
  <c r="L71" i="10"/>
  <c r="S70" i="10" s="1"/>
  <c r="L60" i="10"/>
  <c r="L68" i="10"/>
  <c r="L81" i="10"/>
  <c r="L88" i="10"/>
  <c r="S74" i="10" s="1"/>
  <c r="L63" i="10"/>
  <c r="L93" i="10"/>
  <c r="L45" i="10"/>
  <c r="L95" i="10"/>
  <c r="L97" i="10"/>
  <c r="L66" i="10"/>
  <c r="S80" i="10" s="1"/>
  <c r="L99" i="10"/>
  <c r="S81" i="10" s="1"/>
  <c r="L104" i="10"/>
  <c r="L108" i="10"/>
  <c r="L65" i="10"/>
  <c r="L82" i="10"/>
  <c r="L73" i="10"/>
  <c r="L58" i="10"/>
  <c r="L76" i="10"/>
  <c r="L91" i="10"/>
  <c r="L83" i="10"/>
  <c r="L78" i="10"/>
  <c r="L109" i="10"/>
  <c r="L84" i="10"/>
  <c r="L89" i="10"/>
  <c r="L94" i="10"/>
  <c r="L105" i="10"/>
  <c r="L85" i="10"/>
  <c r="L96" i="10"/>
  <c r="L110" i="10"/>
  <c r="L90" i="10"/>
  <c r="L111" i="10"/>
  <c r="L100" i="10"/>
  <c r="L112" i="10"/>
  <c r="L113" i="10"/>
  <c r="L107" i="10"/>
  <c r="L102" i="10"/>
  <c r="L114" i="10"/>
  <c r="L115" i="10"/>
  <c r="L116" i="10"/>
  <c r="L92" i="10"/>
  <c r="L117" i="10"/>
  <c r="L118" i="10"/>
  <c r="L101" i="10"/>
  <c r="L119" i="10"/>
  <c r="L120" i="10"/>
  <c r="L87" i="10"/>
  <c r="L86" i="10"/>
  <c r="L121" i="10"/>
  <c r="L98" i="10"/>
  <c r="L122" i="10"/>
  <c r="L103" i="10"/>
  <c r="L106" i="10"/>
  <c r="L123" i="10"/>
  <c r="S123" i="10" s="1"/>
  <c r="L124" i="10"/>
  <c r="S124" i="10" s="1"/>
  <c r="S20" i="10" l="1"/>
  <c r="S62" i="10"/>
  <c r="S14" i="10"/>
  <c r="S77" i="10"/>
  <c r="S37" i="10"/>
  <c r="S36" i="10"/>
  <c r="S6" i="10"/>
  <c r="S4" i="10"/>
  <c r="S112" i="10"/>
  <c r="S99" i="10"/>
  <c r="S91" i="10"/>
  <c r="S75" i="10"/>
  <c r="S67" i="10"/>
  <c r="S59" i="10"/>
  <c r="S50" i="10"/>
  <c r="S121" i="10"/>
  <c r="S113" i="10"/>
  <c r="S105" i="10"/>
  <c r="S97" i="10"/>
  <c r="S89" i="10"/>
  <c r="S41" i="10"/>
  <c r="S33" i="10"/>
  <c r="S72" i="10"/>
  <c r="S64" i="10"/>
  <c r="S8" i="10"/>
  <c r="S111" i="10"/>
  <c r="S95" i="10"/>
  <c r="S79" i="10"/>
  <c r="S115" i="10"/>
  <c r="S107" i="10"/>
  <c r="S83" i="10"/>
  <c r="S43" i="10"/>
  <c r="S35" i="10"/>
  <c r="S27" i="10"/>
  <c r="S19" i="10"/>
  <c r="S11" i="10"/>
  <c r="S90" i="10"/>
  <c r="S73" i="10"/>
  <c r="S65" i="10"/>
  <c r="S57" i="10"/>
  <c r="S25" i="10"/>
  <c r="S104" i="10"/>
  <c r="S96" i="10"/>
  <c r="S88" i="10"/>
  <c r="S32" i="10"/>
  <c r="S16" i="10"/>
  <c r="S71" i="10"/>
  <c r="S39" i="10"/>
  <c r="S46" i="10"/>
  <c r="S119" i="10"/>
  <c r="S117" i="10"/>
  <c r="S109" i="10"/>
  <c r="S93" i="10"/>
  <c r="S61" i="10"/>
  <c r="S5" i="10"/>
  <c r="S51" i="10"/>
  <c r="S122" i="10"/>
  <c r="S114" i="10"/>
  <c r="S106" i="10"/>
  <c r="S98" i="10"/>
  <c r="S82" i="10"/>
  <c r="S66" i="10"/>
  <c r="S58" i="10"/>
  <c r="S42" i="10"/>
  <c r="S34" i="10"/>
  <c r="S26" i="10"/>
  <c r="S18" i="10"/>
  <c r="S10" i="10"/>
  <c r="S49" i="10"/>
  <c r="S9" i="10"/>
  <c r="S56" i="10"/>
  <c r="S48" i="10"/>
  <c r="S24" i="10"/>
  <c r="S103" i="10"/>
  <c r="S87" i="10"/>
  <c r="S63" i="10"/>
  <c r="S55" i="10"/>
  <c r="S31" i="10"/>
  <c r="S23" i="10"/>
  <c r="S15" i="10"/>
  <c r="S7" i="10"/>
  <c r="S118" i="10"/>
  <c r="S110" i="10"/>
  <c r="S102" i="10"/>
  <c r="S94" i="10"/>
  <c r="S86" i="10"/>
  <c r="S78" i="10"/>
  <c r="S54" i="10"/>
  <c r="S38" i="10"/>
  <c r="S30" i="10"/>
  <c r="S22" i="10"/>
  <c r="S120" i="10"/>
  <c r="S101" i="10"/>
  <c r="S85" i="10"/>
  <c r="S69" i="10"/>
  <c r="S53" i="10"/>
  <c r="S45" i="10"/>
  <c r="S29" i="10"/>
  <c r="S21" i="10"/>
  <c r="S13" i="10"/>
  <c r="S116" i="10"/>
  <c r="S108" i="10"/>
  <c r="S100" i="10"/>
  <c r="S92" i="10"/>
  <c r="S84" i="10"/>
  <c r="S76" i="10"/>
  <c r="S68" i="10"/>
  <c r="S60" i="10"/>
  <c r="S52" i="10"/>
  <c r="S44" i="10"/>
  <c r="S28" i="10"/>
  <c r="S12" i="10"/>
  <c r="J5" i="10"/>
  <c r="Q5" i="10" s="1"/>
  <c r="J7" i="10"/>
  <c r="J4" i="10"/>
  <c r="Q4" i="10" s="1"/>
  <c r="J8" i="10"/>
  <c r="Q8" i="10" s="1"/>
  <c r="J6" i="10"/>
  <c r="Q6" i="10" s="1"/>
  <c r="J17" i="10"/>
  <c r="Q17" i="10" s="1"/>
  <c r="J11" i="10"/>
  <c r="J12" i="10"/>
  <c r="Q12" i="10" s="1"/>
  <c r="J19" i="10"/>
  <c r="J9" i="10"/>
  <c r="Q9" i="10" s="1"/>
  <c r="J10" i="10"/>
  <c r="J14" i="10"/>
  <c r="Q14" i="10" s="1"/>
  <c r="J20" i="10"/>
  <c r="J15" i="10"/>
  <c r="Q15" i="10" s="1"/>
  <c r="J16" i="10"/>
  <c r="Q16" i="10" s="1"/>
  <c r="J21" i="10"/>
  <c r="Q21" i="10" s="1"/>
  <c r="J18" i="10"/>
  <c r="Q18" i="10" s="1"/>
  <c r="J13" i="10"/>
  <c r="Q13" i="10" s="1"/>
  <c r="J26" i="10"/>
  <c r="J41" i="10"/>
  <c r="Q41" i="10" s="1"/>
  <c r="J37" i="10"/>
  <c r="Q37" i="10" s="1"/>
  <c r="J34" i="10"/>
  <c r="J39" i="10"/>
  <c r="Q39" i="10" s="1"/>
  <c r="J28" i="10"/>
  <c r="Q28" i="10" s="1"/>
  <c r="J32" i="10"/>
  <c r="Q32" i="10" s="1"/>
  <c r="J33" i="10"/>
  <c r="Q33" i="10" s="1"/>
  <c r="J23" i="10"/>
  <c r="Q23" i="10" s="1"/>
  <c r="J25" i="10"/>
  <c r="Q25" i="10" s="1"/>
  <c r="J36" i="10"/>
  <c r="Q36" i="10" s="1"/>
  <c r="J30" i="10"/>
  <c r="Q30" i="10" s="1"/>
  <c r="J43" i="10"/>
  <c r="J31" i="10"/>
  <c r="Q31" i="10" s="1"/>
  <c r="J22" i="10"/>
  <c r="Q22" i="10" s="1"/>
  <c r="J44" i="10"/>
  <c r="J50" i="10"/>
  <c r="J38" i="10"/>
  <c r="Q38" i="10" s="1"/>
  <c r="J40" i="10"/>
  <c r="Q40" i="10" s="1"/>
  <c r="J27" i="10"/>
  <c r="J35" i="10"/>
  <c r="J53" i="10"/>
  <c r="Q53" i="10" s="1"/>
  <c r="J46" i="10"/>
  <c r="Q46" i="10" s="1"/>
  <c r="J64" i="10"/>
  <c r="Q64" i="10" s="1"/>
  <c r="J59" i="10"/>
  <c r="J47" i="10"/>
  <c r="Q47" i="10" s="1"/>
  <c r="J24" i="10"/>
  <c r="Q24" i="10" s="1"/>
  <c r="J67" i="10"/>
  <c r="J61" i="10"/>
  <c r="Q61" i="10" s="1"/>
  <c r="J49" i="10"/>
  <c r="Q49" i="10" s="1"/>
  <c r="J42" i="10"/>
  <c r="J72" i="10"/>
  <c r="J70" i="10"/>
  <c r="Q70" i="10" s="1"/>
  <c r="J62" i="10"/>
  <c r="Q62" i="10" s="1"/>
  <c r="J77" i="10"/>
  <c r="J52" i="10"/>
  <c r="Q52" i="10" s="1"/>
  <c r="J74" i="10"/>
  <c r="J51" i="10"/>
  <c r="J29" i="10"/>
  <c r="Q29" i="10" s="1"/>
  <c r="J54" i="10"/>
  <c r="Q54" i="10" s="1"/>
  <c r="J48" i="10"/>
  <c r="Q48" i="10" s="1"/>
  <c r="J75" i="10"/>
  <c r="J80" i="10"/>
  <c r="Q80" i="10" s="1"/>
  <c r="J56" i="10"/>
  <c r="Q56" i="10" s="1"/>
  <c r="J57" i="10"/>
  <c r="Q57" i="10" s="1"/>
  <c r="J69" i="10"/>
  <c r="Q69" i="10" s="1"/>
  <c r="J55" i="10"/>
  <c r="Q55" i="10" s="1"/>
  <c r="J79" i="10"/>
  <c r="J71" i="10"/>
  <c r="Q71" i="10" s="1"/>
  <c r="J60" i="10"/>
  <c r="Q60" i="10" s="1"/>
  <c r="J68" i="10"/>
  <c r="Q68" i="10" s="1"/>
  <c r="J81" i="10"/>
  <c r="Q81" i="10" s="1"/>
  <c r="J88" i="10"/>
  <c r="J63" i="10"/>
  <c r="Q63" i="10" s="1"/>
  <c r="J93" i="10"/>
  <c r="Q93" i="10" s="1"/>
  <c r="J45" i="10"/>
  <c r="J95" i="10"/>
  <c r="Q95" i="10" s="1"/>
  <c r="J97" i="10"/>
  <c r="Q97" i="10" s="1"/>
  <c r="J66" i="10"/>
  <c r="J99" i="10"/>
  <c r="J104" i="10"/>
  <c r="Q104" i="10" s="1"/>
  <c r="J108" i="10"/>
  <c r="Q108" i="10" s="1"/>
  <c r="J65" i="10"/>
  <c r="Q65" i="10" s="1"/>
  <c r="J82" i="10"/>
  <c r="J73" i="10"/>
  <c r="Q73" i="10" s="1"/>
  <c r="J58" i="10"/>
  <c r="J76" i="10"/>
  <c r="Q76" i="10" s="1"/>
  <c r="J91" i="10"/>
  <c r="J83" i="10"/>
  <c r="J78" i="10"/>
  <c r="Q78" i="10" s="1"/>
  <c r="J109" i="10"/>
  <c r="Q109" i="10" s="1"/>
  <c r="J84" i="10"/>
  <c r="Q84" i="10" s="1"/>
  <c r="J89" i="10"/>
  <c r="Q89" i="10" s="1"/>
  <c r="J94" i="10"/>
  <c r="Q94" i="10" s="1"/>
  <c r="J105" i="10"/>
  <c r="Q105" i="10" s="1"/>
  <c r="J85" i="10"/>
  <c r="Q85" i="10" s="1"/>
  <c r="J96" i="10"/>
  <c r="Q96" i="10" s="1"/>
  <c r="J110" i="10"/>
  <c r="Q110" i="10" s="1"/>
  <c r="J90" i="10"/>
  <c r="J111" i="10"/>
  <c r="Q111" i="10" s="1"/>
  <c r="J100" i="10"/>
  <c r="Q100" i="10" s="1"/>
  <c r="J112" i="10"/>
  <c r="Q112" i="10" s="1"/>
  <c r="J113" i="10"/>
  <c r="Q113" i="10" s="1"/>
  <c r="J107" i="10"/>
  <c r="J102" i="10"/>
  <c r="Q102" i="10" s="1"/>
  <c r="J114" i="10"/>
  <c r="J115" i="10"/>
  <c r="J116" i="10"/>
  <c r="J92" i="10"/>
  <c r="Q92" i="10" s="1"/>
  <c r="J117" i="10"/>
  <c r="Q117" i="10" s="1"/>
  <c r="J118" i="10"/>
  <c r="J101" i="10"/>
  <c r="Q101" i="10" s="1"/>
  <c r="J119" i="10"/>
  <c r="Q119" i="10" s="1"/>
  <c r="J120" i="10"/>
  <c r="Q120" i="10" s="1"/>
  <c r="J87" i="10"/>
  <c r="Q87" i="10" s="1"/>
  <c r="J86" i="10"/>
  <c r="Q86" i="10" s="1"/>
  <c r="J121" i="10"/>
  <c r="Q121" i="10" s="1"/>
  <c r="J98" i="10"/>
  <c r="J122" i="10"/>
  <c r="J103" i="10"/>
  <c r="Q103" i="10" s="1"/>
  <c r="J106" i="10"/>
  <c r="J123" i="10"/>
  <c r="Q123" i="10" s="1"/>
  <c r="J124" i="10"/>
  <c r="Q124" i="10" s="1"/>
  <c r="K5" i="10"/>
  <c r="K7" i="10"/>
  <c r="K4" i="10"/>
  <c r="K8" i="10"/>
  <c r="K6" i="10"/>
  <c r="K17" i="10"/>
  <c r="K11" i="10"/>
  <c r="K12" i="10"/>
  <c r="K19" i="10"/>
  <c r="K9" i="10"/>
  <c r="K10" i="10"/>
  <c r="K14" i="10"/>
  <c r="K20" i="10"/>
  <c r="K15" i="10"/>
  <c r="K16" i="10"/>
  <c r="K21" i="10"/>
  <c r="K18" i="10"/>
  <c r="K13" i="10"/>
  <c r="K26" i="10"/>
  <c r="K41" i="10"/>
  <c r="K37" i="10"/>
  <c r="K34" i="10"/>
  <c r="K39" i="10"/>
  <c r="K28" i="10"/>
  <c r="K32" i="10"/>
  <c r="K33" i="10"/>
  <c r="K23" i="10"/>
  <c r="K25" i="10"/>
  <c r="K36" i="10"/>
  <c r="K30" i="10"/>
  <c r="K43" i="10"/>
  <c r="K31" i="10"/>
  <c r="K22" i="10"/>
  <c r="K44" i="10"/>
  <c r="K50" i="10"/>
  <c r="K38" i="10"/>
  <c r="K40" i="10"/>
  <c r="R40" i="10" s="1"/>
  <c r="K27" i="10"/>
  <c r="K35" i="10"/>
  <c r="K53" i="10"/>
  <c r="K46" i="10"/>
  <c r="K64" i="10"/>
  <c r="K59" i="10"/>
  <c r="K47" i="10"/>
  <c r="R47" i="10" s="1"/>
  <c r="K24" i="10"/>
  <c r="K67" i="10"/>
  <c r="K61" i="10"/>
  <c r="K49" i="10"/>
  <c r="K42" i="10"/>
  <c r="K72" i="10"/>
  <c r="K70" i="10"/>
  <c r="K62" i="10"/>
  <c r="K77" i="10"/>
  <c r="K52" i="10"/>
  <c r="K74" i="10"/>
  <c r="K51" i="10"/>
  <c r="K29" i="10"/>
  <c r="K54" i="10"/>
  <c r="K48" i="10"/>
  <c r="K75" i="10"/>
  <c r="K80" i="10"/>
  <c r="K56" i="10"/>
  <c r="K57" i="10"/>
  <c r="K69" i="10"/>
  <c r="K55" i="10"/>
  <c r="K79" i="10"/>
  <c r="K71" i="10"/>
  <c r="R70" i="10" s="1"/>
  <c r="K60" i="10"/>
  <c r="K68" i="10"/>
  <c r="K81" i="10"/>
  <c r="K88" i="10"/>
  <c r="R74" i="10" s="1"/>
  <c r="K63" i="10"/>
  <c r="K93" i="10"/>
  <c r="K45" i="10"/>
  <c r="K95" i="10"/>
  <c r="K97" i="10"/>
  <c r="K66" i="10"/>
  <c r="R80" i="10" s="1"/>
  <c r="K99" i="10"/>
  <c r="R81" i="10" s="1"/>
  <c r="K104" i="10"/>
  <c r="K108" i="10"/>
  <c r="K65" i="10"/>
  <c r="K82" i="10"/>
  <c r="K73" i="10"/>
  <c r="K58" i="10"/>
  <c r="K76" i="10"/>
  <c r="K91" i="10"/>
  <c r="K83" i="10"/>
  <c r="K78" i="10"/>
  <c r="K109" i="10"/>
  <c r="K84" i="10"/>
  <c r="K89" i="10"/>
  <c r="K94" i="10"/>
  <c r="K105" i="10"/>
  <c r="K85" i="10"/>
  <c r="K96" i="10"/>
  <c r="K110" i="10"/>
  <c r="K90" i="10"/>
  <c r="K111" i="10"/>
  <c r="K100" i="10"/>
  <c r="K112" i="10"/>
  <c r="K113" i="10"/>
  <c r="K107" i="10"/>
  <c r="K102" i="10"/>
  <c r="K114" i="10"/>
  <c r="K115" i="10"/>
  <c r="K116" i="10"/>
  <c r="K92" i="10"/>
  <c r="K117" i="10"/>
  <c r="K118" i="10"/>
  <c r="K101" i="10"/>
  <c r="K119" i="10"/>
  <c r="K120" i="10"/>
  <c r="K87" i="10"/>
  <c r="K86" i="10"/>
  <c r="K121" i="10"/>
  <c r="K98" i="10"/>
  <c r="K122" i="10"/>
  <c r="K103" i="10"/>
  <c r="K106" i="10"/>
  <c r="K123" i="10"/>
  <c r="R123" i="10" s="1"/>
  <c r="K124" i="10"/>
  <c r="R124" i="10" s="1"/>
  <c r="I5" i="10"/>
  <c r="I7" i="10"/>
  <c r="I4" i="10"/>
  <c r="I8" i="10"/>
  <c r="I6" i="10"/>
  <c r="I17" i="10"/>
  <c r="I11" i="10"/>
  <c r="I12" i="10"/>
  <c r="I19" i="10"/>
  <c r="I9" i="10"/>
  <c r="I10" i="10"/>
  <c r="I14" i="10"/>
  <c r="I20" i="10"/>
  <c r="I15" i="10"/>
  <c r="P17" i="10" s="1"/>
  <c r="I16" i="10"/>
  <c r="I21" i="10"/>
  <c r="I18" i="10"/>
  <c r="I13" i="10"/>
  <c r="I26" i="10"/>
  <c r="I41" i="10"/>
  <c r="I37" i="10"/>
  <c r="I34" i="10"/>
  <c r="I39" i="10"/>
  <c r="I28" i="10"/>
  <c r="I32" i="10"/>
  <c r="I33" i="10"/>
  <c r="I23" i="10"/>
  <c r="I25" i="10"/>
  <c r="I36" i="10"/>
  <c r="I30" i="10"/>
  <c r="I43" i="10"/>
  <c r="I31" i="10"/>
  <c r="I22" i="10"/>
  <c r="I44" i="10"/>
  <c r="I50" i="10"/>
  <c r="I38" i="10"/>
  <c r="I40" i="10"/>
  <c r="P40" i="10" s="1"/>
  <c r="I27" i="10"/>
  <c r="I35" i="10"/>
  <c r="I53" i="10"/>
  <c r="I46" i="10"/>
  <c r="I64" i="10"/>
  <c r="I59" i="10"/>
  <c r="I47" i="10"/>
  <c r="P47" i="10" s="1"/>
  <c r="I24" i="10"/>
  <c r="I67" i="10"/>
  <c r="I61" i="10"/>
  <c r="I49" i="10"/>
  <c r="I42" i="10"/>
  <c r="I72" i="10"/>
  <c r="I70" i="10"/>
  <c r="I62" i="10"/>
  <c r="I77" i="10"/>
  <c r="I52" i="10"/>
  <c r="I74" i="10"/>
  <c r="I51" i="10"/>
  <c r="I29" i="10"/>
  <c r="I54" i="10"/>
  <c r="I48" i="10"/>
  <c r="I75" i="10"/>
  <c r="I80" i="10"/>
  <c r="I56" i="10"/>
  <c r="I57" i="10"/>
  <c r="I69" i="10"/>
  <c r="I55" i="10"/>
  <c r="I79" i="10"/>
  <c r="I71" i="10"/>
  <c r="P70" i="10" s="1"/>
  <c r="I60" i="10"/>
  <c r="I68" i="10"/>
  <c r="I81" i="10"/>
  <c r="I88" i="10"/>
  <c r="P74" i="10" s="1"/>
  <c r="I63" i="10"/>
  <c r="I93" i="10"/>
  <c r="I45" i="10"/>
  <c r="I95" i="10"/>
  <c r="I97" i="10"/>
  <c r="I66" i="10"/>
  <c r="P80" i="10" s="1"/>
  <c r="I99" i="10"/>
  <c r="P81" i="10" s="1"/>
  <c r="I104" i="10"/>
  <c r="I108" i="10"/>
  <c r="I65" i="10"/>
  <c r="I82" i="10"/>
  <c r="I73" i="10"/>
  <c r="I58" i="10"/>
  <c r="I76" i="10"/>
  <c r="I91" i="10"/>
  <c r="I83" i="10"/>
  <c r="I78" i="10"/>
  <c r="I109" i="10"/>
  <c r="I84" i="10"/>
  <c r="I89" i="10"/>
  <c r="I94" i="10"/>
  <c r="I105" i="10"/>
  <c r="I85" i="10"/>
  <c r="I96" i="10"/>
  <c r="I110" i="10"/>
  <c r="I90" i="10"/>
  <c r="I111" i="10"/>
  <c r="I100" i="10"/>
  <c r="I112" i="10"/>
  <c r="I113" i="10"/>
  <c r="I107" i="10"/>
  <c r="I102" i="10"/>
  <c r="I114" i="10"/>
  <c r="I115" i="10"/>
  <c r="I116" i="10"/>
  <c r="I92" i="10"/>
  <c r="I117" i="10"/>
  <c r="I118" i="10"/>
  <c r="I101" i="10"/>
  <c r="I119" i="10"/>
  <c r="I120" i="10"/>
  <c r="I87" i="10"/>
  <c r="I86" i="10"/>
  <c r="I121" i="10"/>
  <c r="I98" i="10"/>
  <c r="I122" i="10"/>
  <c r="I103" i="10"/>
  <c r="I106" i="10"/>
  <c r="I123" i="10"/>
  <c r="P123" i="10" s="1"/>
  <c r="I124" i="10"/>
  <c r="P124" i="10" s="1"/>
  <c r="H5" i="10"/>
  <c r="O5" i="10" s="1"/>
  <c r="H7" i="10"/>
  <c r="H4" i="10"/>
  <c r="O4" i="10" s="1"/>
  <c r="H8" i="10"/>
  <c r="H6" i="10"/>
  <c r="O6" i="10" s="1"/>
  <c r="H17" i="10"/>
  <c r="H11" i="10"/>
  <c r="H12" i="10"/>
  <c r="O12" i="10" s="1"/>
  <c r="H19" i="10"/>
  <c r="H9" i="10"/>
  <c r="H10" i="10"/>
  <c r="H14" i="10"/>
  <c r="H20" i="10"/>
  <c r="O20" i="10" s="1"/>
  <c r="H15" i="10"/>
  <c r="O17" i="10" s="1"/>
  <c r="H16" i="10"/>
  <c r="H21" i="10"/>
  <c r="O21" i="10" s="1"/>
  <c r="H18" i="10"/>
  <c r="H13" i="10"/>
  <c r="O13" i="10" s="1"/>
  <c r="H26" i="10"/>
  <c r="H41" i="10"/>
  <c r="H37" i="10"/>
  <c r="O37" i="10" s="1"/>
  <c r="H34" i="10"/>
  <c r="H39" i="10"/>
  <c r="H28" i="10"/>
  <c r="O28" i="10" s="1"/>
  <c r="H32" i="10"/>
  <c r="H33" i="10"/>
  <c r="H23" i="10"/>
  <c r="H25" i="10"/>
  <c r="H36" i="10"/>
  <c r="O36" i="10" s="1"/>
  <c r="H30" i="10"/>
  <c r="O30" i="10" s="1"/>
  <c r="H43" i="10"/>
  <c r="H31" i="10"/>
  <c r="H22" i="10"/>
  <c r="O22" i="10" s="1"/>
  <c r="H44" i="10"/>
  <c r="O44" i="10" s="1"/>
  <c r="H50" i="10"/>
  <c r="H38" i="10"/>
  <c r="O38" i="10" s="1"/>
  <c r="H40" i="10"/>
  <c r="O40" i="10" s="1"/>
  <c r="H27" i="10"/>
  <c r="H35" i="10"/>
  <c r="H53" i="10"/>
  <c r="O53" i="10" s="1"/>
  <c r="H46" i="10"/>
  <c r="O46" i="10" s="1"/>
  <c r="H64" i="10"/>
  <c r="H59" i="10"/>
  <c r="H47" i="10"/>
  <c r="O47" i="10" s="1"/>
  <c r="H24" i="10"/>
  <c r="H67" i="10"/>
  <c r="H61" i="10"/>
  <c r="H49" i="10"/>
  <c r="H42" i="10"/>
  <c r="O42" i="10" s="1"/>
  <c r="H72" i="10"/>
  <c r="H70" i="10"/>
  <c r="O70" i="10" s="1"/>
  <c r="H62" i="10"/>
  <c r="O62" i="10" s="1"/>
  <c r="H77" i="10"/>
  <c r="O77" i="10" s="1"/>
  <c r="H52" i="10"/>
  <c r="O52" i="10" s="1"/>
  <c r="H74" i="10"/>
  <c r="H51" i="10"/>
  <c r="H29" i="10"/>
  <c r="O29" i="10" s="1"/>
  <c r="H54" i="10"/>
  <c r="O54" i="10" s="1"/>
  <c r="H48" i="10"/>
  <c r="H75" i="10"/>
  <c r="H80" i="10"/>
  <c r="H56" i="10"/>
  <c r="H57" i="10"/>
  <c r="H69" i="10"/>
  <c r="O69" i="10" s="1"/>
  <c r="H55" i="10"/>
  <c r="H79" i="10"/>
  <c r="H71" i="10"/>
  <c r="H60" i="10"/>
  <c r="H68" i="10"/>
  <c r="O68" i="10" s="1"/>
  <c r="H81" i="10"/>
  <c r="H88" i="10"/>
  <c r="O74" i="10" s="1"/>
  <c r="H63" i="10"/>
  <c r="H93" i="10"/>
  <c r="O93" i="10" s="1"/>
  <c r="H45" i="10"/>
  <c r="H95" i="10"/>
  <c r="H97" i="10"/>
  <c r="H66" i="10"/>
  <c r="O80" i="10" s="1"/>
  <c r="H99" i="10"/>
  <c r="O81" i="10" s="1"/>
  <c r="H104" i="10"/>
  <c r="H108" i="10"/>
  <c r="O108" i="10" s="1"/>
  <c r="H65" i="10"/>
  <c r="H82" i="10"/>
  <c r="H73" i="10"/>
  <c r="H58" i="10"/>
  <c r="H76" i="10"/>
  <c r="O76" i="10" s="1"/>
  <c r="H91" i="10"/>
  <c r="H83" i="10"/>
  <c r="H78" i="10"/>
  <c r="O78" i="10" s="1"/>
  <c r="H109" i="10"/>
  <c r="O109" i="10" s="1"/>
  <c r="H84" i="10"/>
  <c r="O84" i="10" s="1"/>
  <c r="H89" i="10"/>
  <c r="H94" i="10"/>
  <c r="H105" i="10"/>
  <c r="H85" i="10"/>
  <c r="O85" i="10" s="1"/>
  <c r="H96" i="10"/>
  <c r="H110" i="10"/>
  <c r="O110" i="10" s="1"/>
  <c r="H90" i="10"/>
  <c r="O90" i="10" s="1"/>
  <c r="H111" i="10"/>
  <c r="H100" i="10"/>
  <c r="O100" i="10" s="1"/>
  <c r="H112" i="10"/>
  <c r="H113" i="10"/>
  <c r="H107" i="10"/>
  <c r="H102" i="10"/>
  <c r="H114" i="10"/>
  <c r="H115" i="10"/>
  <c r="H116" i="10"/>
  <c r="O116" i="10" s="1"/>
  <c r="H92" i="10"/>
  <c r="O92" i="10" s="1"/>
  <c r="H117" i="10"/>
  <c r="H118" i="10"/>
  <c r="O118" i="10" s="1"/>
  <c r="H101" i="10"/>
  <c r="O101" i="10" s="1"/>
  <c r="H119" i="10"/>
  <c r="H120" i="10"/>
  <c r="H87" i="10"/>
  <c r="H86" i="10"/>
  <c r="H121" i="10"/>
  <c r="H98" i="10"/>
  <c r="H122" i="10"/>
  <c r="H103" i="10"/>
  <c r="H106" i="10"/>
  <c r="H123" i="10"/>
  <c r="O123" i="10" s="1"/>
  <c r="H124" i="10"/>
  <c r="O124" i="10" s="1"/>
  <c r="G5" i="10"/>
  <c r="G7" i="10"/>
  <c r="G4" i="10"/>
  <c r="G8" i="10"/>
  <c r="G6" i="10"/>
  <c r="G17" i="10"/>
  <c r="G11" i="10"/>
  <c r="G12" i="10"/>
  <c r="G19" i="10"/>
  <c r="G9" i="10"/>
  <c r="G10" i="10"/>
  <c r="G14" i="10"/>
  <c r="G20" i="10"/>
  <c r="G15" i="10"/>
  <c r="N17" i="10" s="1"/>
  <c r="G16" i="10"/>
  <c r="G21" i="10"/>
  <c r="G18" i="10"/>
  <c r="G13" i="10"/>
  <c r="G26" i="10"/>
  <c r="G41" i="10"/>
  <c r="G37" i="10"/>
  <c r="G34" i="10"/>
  <c r="G39" i="10"/>
  <c r="G28" i="10"/>
  <c r="G32" i="10"/>
  <c r="G33" i="10"/>
  <c r="G23" i="10"/>
  <c r="G25" i="10"/>
  <c r="G36" i="10"/>
  <c r="G30" i="10"/>
  <c r="G43" i="10"/>
  <c r="G31" i="10"/>
  <c r="G22" i="10"/>
  <c r="G44" i="10"/>
  <c r="G50" i="10"/>
  <c r="G38" i="10"/>
  <c r="G40" i="10"/>
  <c r="N40" i="10" s="1"/>
  <c r="G27" i="10"/>
  <c r="G35" i="10"/>
  <c r="G53" i="10"/>
  <c r="G46" i="10"/>
  <c r="G64" i="10"/>
  <c r="G59" i="10"/>
  <c r="G47" i="10"/>
  <c r="N47" i="10" s="1"/>
  <c r="G24" i="10"/>
  <c r="G67" i="10"/>
  <c r="G61" i="10"/>
  <c r="G49" i="10"/>
  <c r="G42" i="10"/>
  <c r="G72" i="10"/>
  <c r="G70" i="10"/>
  <c r="G62" i="10"/>
  <c r="G77" i="10"/>
  <c r="G52" i="10"/>
  <c r="G74" i="10"/>
  <c r="G51" i="10"/>
  <c r="G29" i="10"/>
  <c r="G54" i="10"/>
  <c r="G48" i="10"/>
  <c r="G75" i="10"/>
  <c r="G80" i="10"/>
  <c r="G56" i="10"/>
  <c r="G57" i="10"/>
  <c r="G69" i="10"/>
  <c r="G55" i="10"/>
  <c r="G79" i="10"/>
  <c r="G71" i="10"/>
  <c r="G60" i="10"/>
  <c r="G68" i="10"/>
  <c r="G81" i="10"/>
  <c r="G88" i="10"/>
  <c r="N74" i="10" s="1"/>
  <c r="G63" i="10"/>
  <c r="G93" i="10"/>
  <c r="G45" i="10"/>
  <c r="G95" i="10"/>
  <c r="G97" i="10"/>
  <c r="G66" i="10"/>
  <c r="N80" i="10" s="1"/>
  <c r="G99" i="10"/>
  <c r="N81" i="10" s="1"/>
  <c r="G104" i="10"/>
  <c r="G108" i="10"/>
  <c r="G65" i="10"/>
  <c r="G82" i="10"/>
  <c r="G73" i="10"/>
  <c r="G58" i="10"/>
  <c r="G76" i="10"/>
  <c r="G91" i="10"/>
  <c r="G83" i="10"/>
  <c r="G78" i="10"/>
  <c r="G109" i="10"/>
  <c r="G84" i="10"/>
  <c r="G89" i="10"/>
  <c r="G94" i="10"/>
  <c r="G105" i="10"/>
  <c r="G85" i="10"/>
  <c r="G96" i="10"/>
  <c r="G110" i="10"/>
  <c r="G90" i="10"/>
  <c r="G111" i="10"/>
  <c r="G100" i="10"/>
  <c r="G112" i="10"/>
  <c r="G113" i="10"/>
  <c r="G107" i="10"/>
  <c r="G102" i="10"/>
  <c r="G114" i="10"/>
  <c r="G115" i="10"/>
  <c r="G116" i="10"/>
  <c r="G92" i="10"/>
  <c r="G117" i="10"/>
  <c r="G118" i="10"/>
  <c r="G101" i="10"/>
  <c r="G119" i="10"/>
  <c r="G120" i="10"/>
  <c r="G87" i="10"/>
  <c r="G86" i="10"/>
  <c r="G121" i="10"/>
  <c r="G98" i="10"/>
  <c r="G122" i="10"/>
  <c r="G103" i="10"/>
  <c r="G106" i="10"/>
  <c r="G123" i="10"/>
  <c r="N123" i="10" s="1"/>
  <c r="G124" i="10"/>
  <c r="N124" i="10" s="1"/>
  <c r="F5" i="10"/>
  <c r="F7" i="10"/>
  <c r="F4" i="10"/>
  <c r="F8" i="10"/>
  <c r="F6" i="10"/>
  <c r="F17" i="10"/>
  <c r="F11" i="10"/>
  <c r="F12" i="10"/>
  <c r="F19" i="10"/>
  <c r="F9" i="10"/>
  <c r="F10" i="10"/>
  <c r="M10" i="10" s="1"/>
  <c r="F14" i="10"/>
  <c r="F20" i="10"/>
  <c r="M20" i="10" s="1"/>
  <c r="F15" i="10"/>
  <c r="M17" i="10" s="1"/>
  <c r="F16" i="10"/>
  <c r="M16" i="10" s="1"/>
  <c r="F21" i="10"/>
  <c r="F18" i="10"/>
  <c r="M18" i="10" s="1"/>
  <c r="F13" i="10"/>
  <c r="F26" i="10"/>
  <c r="M26" i="10" s="1"/>
  <c r="F41" i="10"/>
  <c r="F37" i="10"/>
  <c r="F34" i="10"/>
  <c r="M34" i="10" s="1"/>
  <c r="F39" i="10"/>
  <c r="F28" i="10"/>
  <c r="M28" i="10" s="1"/>
  <c r="F32" i="10"/>
  <c r="F33" i="10"/>
  <c r="F23" i="10"/>
  <c r="F25" i="10"/>
  <c r="F36" i="10"/>
  <c r="M36" i="10" s="1"/>
  <c r="F30" i="10"/>
  <c r="F43" i="10"/>
  <c r="F31" i="10"/>
  <c r="F22" i="10"/>
  <c r="F44" i="10"/>
  <c r="F50" i="10"/>
  <c r="M50" i="10" s="1"/>
  <c r="F38" i="10"/>
  <c r="F40" i="10"/>
  <c r="M40" i="10" s="1"/>
  <c r="F27" i="10"/>
  <c r="F35" i="10"/>
  <c r="F53" i="10"/>
  <c r="F46" i="10"/>
  <c r="F64" i="10"/>
  <c r="F59" i="10"/>
  <c r="F47" i="10"/>
  <c r="M47" i="10" s="1"/>
  <c r="F24" i="10"/>
  <c r="F67" i="10"/>
  <c r="F61" i="10"/>
  <c r="F49" i="10"/>
  <c r="F42" i="10"/>
  <c r="M42" i="10" s="1"/>
  <c r="F72" i="10"/>
  <c r="F70" i="10"/>
  <c r="F62" i="10"/>
  <c r="F77" i="10"/>
  <c r="F52" i="10"/>
  <c r="F74" i="10"/>
  <c r="M74" i="10" s="1"/>
  <c r="F51" i="10"/>
  <c r="F29" i="10"/>
  <c r="F54" i="10"/>
  <c r="F48" i="10"/>
  <c r="F75" i="10"/>
  <c r="F80" i="10"/>
  <c r="M80" i="10" s="1"/>
  <c r="F56" i="10"/>
  <c r="F57" i="10"/>
  <c r="F69" i="10"/>
  <c r="F55" i="10"/>
  <c r="F79" i="10"/>
  <c r="F71" i="10"/>
  <c r="M70" i="10" s="1"/>
  <c r="F60" i="10"/>
  <c r="F68" i="10"/>
  <c r="F81" i="10"/>
  <c r="F88" i="10"/>
  <c r="M88" i="10" s="1"/>
  <c r="F63" i="10"/>
  <c r="F93" i="10"/>
  <c r="F45" i="10"/>
  <c r="F95" i="10"/>
  <c r="M95" i="10" s="1"/>
  <c r="F97" i="10"/>
  <c r="F66" i="10"/>
  <c r="M66" i="10" s="1"/>
  <c r="F99" i="10"/>
  <c r="M81" i="10" s="1"/>
  <c r="F104" i="10"/>
  <c r="F108" i="10"/>
  <c r="F65" i="10"/>
  <c r="F82" i="10"/>
  <c r="F73" i="10"/>
  <c r="F58" i="10"/>
  <c r="M58" i="10" s="1"/>
  <c r="F76" i="10"/>
  <c r="F91" i="10"/>
  <c r="F83" i="10"/>
  <c r="F78" i="10"/>
  <c r="F109" i="10"/>
  <c r="F84" i="10"/>
  <c r="F89" i="10"/>
  <c r="F94" i="10"/>
  <c r="F105" i="10"/>
  <c r="F85" i="10"/>
  <c r="F96" i="10"/>
  <c r="F110" i="10"/>
  <c r="F90" i="10"/>
  <c r="M90" i="10" s="1"/>
  <c r="F111" i="10"/>
  <c r="F100" i="10"/>
  <c r="F112" i="10"/>
  <c r="F113" i="10"/>
  <c r="F107" i="10"/>
  <c r="F102" i="10"/>
  <c r="F114" i="10"/>
  <c r="F115" i="10"/>
  <c r="F116" i="10"/>
  <c r="F92" i="10"/>
  <c r="F117" i="10"/>
  <c r="F118" i="10"/>
  <c r="F101" i="10"/>
  <c r="F119" i="10"/>
  <c r="F120" i="10"/>
  <c r="F87" i="10"/>
  <c r="F86" i="10"/>
  <c r="F121" i="10"/>
  <c r="F98" i="10"/>
  <c r="M98" i="10" s="1"/>
  <c r="F122" i="10"/>
  <c r="F103" i="10"/>
  <c r="F106" i="10"/>
  <c r="M106" i="10" s="1"/>
  <c r="F123" i="10"/>
  <c r="M123" i="10" s="1"/>
  <c r="F124" i="10"/>
  <c r="M124" i="10" s="1"/>
  <c r="M4" i="11"/>
  <c r="N4" i="11" s="1"/>
  <c r="M31" i="11"/>
  <c r="N31" i="11" s="1"/>
  <c r="M23" i="11"/>
  <c r="N23" i="11" s="1"/>
  <c r="M15" i="11"/>
  <c r="N15" i="11" s="1"/>
  <c r="M6" i="11"/>
  <c r="N6" i="11" s="1"/>
  <c r="M25" i="11"/>
  <c r="N25" i="11" s="1"/>
  <c r="M5" i="11"/>
  <c r="N5" i="11" s="1"/>
  <c r="M8" i="11"/>
  <c r="N8" i="11" s="1"/>
  <c r="M20" i="11"/>
  <c r="N20" i="11" s="1"/>
  <c r="M14" i="11"/>
  <c r="N14" i="11" s="1"/>
  <c r="M54" i="11"/>
  <c r="N54" i="11" s="1"/>
  <c r="M21" i="11"/>
  <c r="N21" i="11" s="1"/>
  <c r="M7" i="11"/>
  <c r="N7" i="11" s="1"/>
  <c r="M10" i="11"/>
  <c r="N10" i="11" s="1"/>
  <c r="M27" i="11"/>
  <c r="N27" i="11" s="1"/>
  <c r="M33" i="11"/>
  <c r="N33" i="11" s="1"/>
  <c r="M24" i="11"/>
  <c r="N24" i="11" s="1"/>
  <c r="M11" i="11"/>
  <c r="N11" i="11" s="1"/>
  <c r="M26" i="11"/>
  <c r="N26" i="11" s="1"/>
  <c r="M62" i="11"/>
  <c r="N62" i="11" s="1"/>
  <c r="M43" i="11"/>
  <c r="N43" i="11" s="1"/>
  <c r="M55" i="11"/>
  <c r="N55" i="11" s="1"/>
  <c r="M69" i="11"/>
  <c r="N69" i="11" s="1"/>
  <c r="M17" i="11"/>
  <c r="N17" i="11" s="1"/>
  <c r="M13" i="11"/>
  <c r="N13" i="11" s="1"/>
  <c r="M51" i="11"/>
  <c r="N51" i="11" s="1"/>
  <c r="M18" i="11"/>
  <c r="N18" i="11" s="1"/>
  <c r="M28" i="11"/>
  <c r="N28" i="11" s="1"/>
  <c r="M41" i="11"/>
  <c r="N41" i="11" s="1"/>
  <c r="M9" i="11"/>
  <c r="N9" i="11" s="1"/>
  <c r="M47" i="11"/>
  <c r="N47" i="11" s="1"/>
  <c r="M40" i="11"/>
  <c r="N40" i="11" s="1"/>
  <c r="M16" i="11"/>
  <c r="N16" i="11" s="1"/>
  <c r="M64" i="11"/>
  <c r="N64" i="11" s="1"/>
  <c r="M36" i="11"/>
  <c r="N36" i="11" s="1"/>
  <c r="M22" i="11"/>
  <c r="N22" i="11" s="1"/>
  <c r="M45" i="11"/>
  <c r="N45" i="11" s="1"/>
  <c r="M29" i="11"/>
  <c r="N29" i="11" s="1"/>
  <c r="M39" i="11"/>
  <c r="N39" i="11" s="1"/>
  <c r="M77" i="11"/>
  <c r="N77" i="11" s="1"/>
  <c r="M35" i="11"/>
  <c r="N35" i="11" s="1"/>
  <c r="M81" i="11"/>
  <c r="N81" i="11" s="1"/>
  <c r="M66" i="11"/>
  <c r="N66" i="11" s="1"/>
  <c r="M30" i="11"/>
  <c r="N30" i="11" s="1"/>
  <c r="M46" i="11"/>
  <c r="N46" i="11" s="1"/>
  <c r="M92" i="11"/>
  <c r="N92" i="11" s="1"/>
  <c r="M83" i="11"/>
  <c r="N83" i="11" s="1"/>
  <c r="M56" i="11"/>
  <c r="N56" i="11" s="1"/>
  <c r="M52" i="11"/>
  <c r="N52" i="11" s="1"/>
  <c r="M89" i="11"/>
  <c r="N89" i="11" s="1"/>
  <c r="M97" i="11"/>
  <c r="N97" i="11" s="1"/>
  <c r="M19" i="11"/>
  <c r="N19" i="11" s="1"/>
  <c r="M73" i="11"/>
  <c r="N73" i="11" s="1"/>
  <c r="M75" i="11"/>
  <c r="N75" i="11" s="1"/>
  <c r="M79" i="11"/>
  <c r="N79" i="11" s="1"/>
  <c r="M65" i="11"/>
  <c r="N65" i="11" s="1"/>
  <c r="M49" i="11"/>
  <c r="N49" i="11" s="1"/>
  <c r="M44" i="11"/>
  <c r="N44" i="11" s="1"/>
  <c r="M63" i="11"/>
  <c r="N63" i="11" s="1"/>
  <c r="M98" i="11"/>
  <c r="N98" i="11" s="1"/>
  <c r="M85" i="11"/>
  <c r="N85" i="11" s="1"/>
  <c r="M71" i="11"/>
  <c r="N71" i="11" s="1"/>
  <c r="M90" i="11"/>
  <c r="N90" i="11" s="1"/>
  <c r="M38" i="11"/>
  <c r="N38" i="11" s="1"/>
  <c r="M60" i="11"/>
  <c r="N60" i="11" s="1"/>
  <c r="M101" i="11"/>
  <c r="N101" i="11" s="1"/>
  <c r="M37" i="11"/>
  <c r="N37" i="11" s="1"/>
  <c r="M50" i="11"/>
  <c r="N50" i="11" s="1"/>
  <c r="M61" i="11"/>
  <c r="N61" i="11" s="1"/>
  <c r="M102" i="11"/>
  <c r="N102" i="11" s="1"/>
  <c r="M103" i="11"/>
  <c r="N103" i="11" s="1"/>
  <c r="M67" i="11"/>
  <c r="N67" i="11" s="1"/>
  <c r="M104" i="11"/>
  <c r="N104" i="11" s="1"/>
  <c r="M32" i="11"/>
  <c r="N32" i="11" s="1"/>
  <c r="M105" i="11"/>
  <c r="N105" i="11" s="1"/>
  <c r="M106" i="11"/>
  <c r="N106" i="11" s="1"/>
  <c r="M72" i="11"/>
  <c r="N72" i="11" s="1"/>
  <c r="M84" i="11"/>
  <c r="N84" i="11" s="1"/>
  <c r="M107" i="11"/>
  <c r="N107" i="11" s="1"/>
  <c r="M108" i="11"/>
  <c r="N108" i="11" s="1"/>
  <c r="M42" i="11"/>
  <c r="N42" i="11" s="1"/>
  <c r="M109" i="11"/>
  <c r="N109" i="11" s="1"/>
  <c r="M78" i="11"/>
  <c r="N78" i="11" s="1"/>
  <c r="M57" i="11"/>
  <c r="N57" i="11" s="1"/>
  <c r="M34" i="11"/>
  <c r="N34" i="11" s="1"/>
  <c r="M58" i="11"/>
  <c r="N58" i="11" s="1"/>
  <c r="M91" i="11"/>
  <c r="N91" i="11" s="1"/>
  <c r="M70" i="11"/>
  <c r="N70" i="11" s="1"/>
  <c r="M68" i="11"/>
  <c r="N68" i="11" s="1"/>
  <c r="M88" i="11"/>
  <c r="N88" i="11" s="1"/>
  <c r="M87" i="11"/>
  <c r="N87" i="11" s="1"/>
  <c r="M110" i="11"/>
  <c r="N110" i="11" s="1"/>
  <c r="M74" i="11"/>
  <c r="N74" i="11" s="1"/>
  <c r="M82" i="11"/>
  <c r="N82" i="11" s="1"/>
  <c r="M86" i="11"/>
  <c r="N86" i="11" s="1"/>
  <c r="M93" i="11"/>
  <c r="N93" i="11" s="1"/>
  <c r="M100" i="11"/>
  <c r="N100" i="11" s="1"/>
  <c r="M111" i="11"/>
  <c r="N111" i="11" s="1"/>
  <c r="M59" i="11"/>
  <c r="N59" i="11" s="1"/>
  <c r="M94" i="11"/>
  <c r="N94" i="11" s="1"/>
  <c r="M112" i="11"/>
  <c r="N112" i="11" s="1"/>
  <c r="M113" i="11"/>
  <c r="N113" i="11" s="1"/>
  <c r="M114" i="11"/>
  <c r="N114" i="11" s="1"/>
  <c r="M115" i="11"/>
  <c r="N115" i="11" s="1"/>
  <c r="M48" i="11"/>
  <c r="N48" i="11" s="1"/>
  <c r="M116" i="11"/>
  <c r="N116" i="11" s="1"/>
  <c r="M117" i="11"/>
  <c r="N117" i="11" s="1"/>
  <c r="M95" i="11"/>
  <c r="N95" i="11" s="1"/>
  <c r="M12" i="11"/>
  <c r="N12" i="11" s="1"/>
  <c r="M53" i="11"/>
  <c r="N53" i="11" s="1"/>
  <c r="M80" i="11"/>
  <c r="N80" i="11" s="1"/>
  <c r="M118" i="11"/>
  <c r="N118" i="11" s="1"/>
  <c r="M76" i="11"/>
  <c r="N76" i="11" s="1"/>
  <c r="M119" i="11"/>
  <c r="N119" i="11" s="1"/>
  <c r="M120" i="11"/>
  <c r="N120" i="11" s="1"/>
  <c r="M96" i="11"/>
  <c r="N96" i="11" s="1"/>
  <c r="M99" i="11"/>
  <c r="N99" i="11" s="1"/>
  <c r="M121" i="11"/>
  <c r="N121" i="11" s="1"/>
  <c r="M122" i="11"/>
  <c r="N122" i="11" s="1"/>
  <c r="M123" i="11"/>
  <c r="N123" i="11" s="1"/>
  <c r="M124" i="11"/>
  <c r="N124" i="11" s="1"/>
  <c r="K4" i="11"/>
  <c r="L4" i="11" s="1"/>
  <c r="K31" i="11"/>
  <c r="L31" i="11" s="1"/>
  <c r="K23" i="11"/>
  <c r="L23" i="11" s="1"/>
  <c r="E23" i="11" s="1"/>
  <c r="K15" i="11"/>
  <c r="L15" i="11" s="1"/>
  <c r="K6" i="11"/>
  <c r="L6" i="11" s="1"/>
  <c r="E6" i="11" s="1"/>
  <c r="K25" i="11"/>
  <c r="L25" i="11" s="1"/>
  <c r="K5" i="11"/>
  <c r="L5" i="11" s="1"/>
  <c r="E5" i="11" s="1"/>
  <c r="K8" i="11"/>
  <c r="L8" i="11" s="1"/>
  <c r="K20" i="11"/>
  <c r="L20" i="11" s="1"/>
  <c r="K14" i="11"/>
  <c r="L14" i="11" s="1"/>
  <c r="K54" i="11"/>
  <c r="L54" i="11" s="1"/>
  <c r="E54" i="11" s="1"/>
  <c r="K21" i="11"/>
  <c r="L21" i="11" s="1"/>
  <c r="K7" i="11"/>
  <c r="L7" i="11" s="1"/>
  <c r="E7" i="11" s="1"/>
  <c r="K10" i="11"/>
  <c r="L10" i="11" s="1"/>
  <c r="K27" i="11"/>
  <c r="L27" i="11" s="1"/>
  <c r="E27" i="11" s="1"/>
  <c r="K33" i="11"/>
  <c r="L33" i="11" s="1"/>
  <c r="K24" i="11"/>
  <c r="L24" i="11" s="1"/>
  <c r="K11" i="11"/>
  <c r="L11" i="11" s="1"/>
  <c r="K26" i="11"/>
  <c r="L26" i="11" s="1"/>
  <c r="E26" i="11" s="1"/>
  <c r="K62" i="11"/>
  <c r="L62" i="11" s="1"/>
  <c r="K43" i="11"/>
  <c r="L43" i="11" s="1"/>
  <c r="E43" i="11" s="1"/>
  <c r="K55" i="11"/>
  <c r="L55" i="11" s="1"/>
  <c r="K69" i="11"/>
  <c r="L69" i="11" s="1"/>
  <c r="E69" i="11" s="1"/>
  <c r="K17" i="11"/>
  <c r="L17" i="11" s="1"/>
  <c r="K13" i="11"/>
  <c r="L13" i="11" s="1"/>
  <c r="K51" i="11"/>
  <c r="L51" i="11" s="1"/>
  <c r="K18" i="11"/>
  <c r="L18" i="11" s="1"/>
  <c r="E18" i="11" s="1"/>
  <c r="K28" i="11"/>
  <c r="L28" i="11" s="1"/>
  <c r="K41" i="11"/>
  <c r="L41" i="11" s="1"/>
  <c r="E41" i="11" s="1"/>
  <c r="K9" i="11"/>
  <c r="K47" i="11"/>
  <c r="L47" i="11" s="1"/>
  <c r="E47" i="11" s="1"/>
  <c r="K40" i="11"/>
  <c r="L40" i="11" s="1"/>
  <c r="K16" i="11"/>
  <c r="L16" i="11" s="1"/>
  <c r="K64" i="11"/>
  <c r="L64" i="11" s="1"/>
  <c r="K36" i="11"/>
  <c r="L36" i="11" s="1"/>
  <c r="E36" i="11" s="1"/>
  <c r="K22" i="11"/>
  <c r="L22" i="11" s="1"/>
  <c r="K45" i="11"/>
  <c r="L45" i="11" s="1"/>
  <c r="E45" i="11" s="1"/>
  <c r="K29" i="11"/>
  <c r="L29" i="11" s="1"/>
  <c r="K39" i="11"/>
  <c r="L39" i="11" s="1"/>
  <c r="E39" i="11" s="1"/>
  <c r="K77" i="11"/>
  <c r="L77" i="11" s="1"/>
  <c r="K35" i="11"/>
  <c r="L35" i="11" s="1"/>
  <c r="K81" i="11"/>
  <c r="L81" i="11" s="1"/>
  <c r="K66" i="11"/>
  <c r="L66" i="11" s="1"/>
  <c r="E66" i="11" s="1"/>
  <c r="K30" i="11"/>
  <c r="L30" i="11" s="1"/>
  <c r="K46" i="11"/>
  <c r="L46" i="11" s="1"/>
  <c r="E46" i="11" s="1"/>
  <c r="K92" i="11"/>
  <c r="L92" i="11" s="1"/>
  <c r="K83" i="11"/>
  <c r="L83" i="11" s="1"/>
  <c r="E83" i="11" s="1"/>
  <c r="K56" i="11"/>
  <c r="L56" i="11" s="1"/>
  <c r="K52" i="11"/>
  <c r="L52" i="11" s="1"/>
  <c r="K89" i="11"/>
  <c r="L89" i="11" s="1"/>
  <c r="K97" i="11"/>
  <c r="L97" i="11" s="1"/>
  <c r="E97" i="11" s="1"/>
  <c r="K19" i="11"/>
  <c r="L19" i="11" s="1"/>
  <c r="K73" i="11"/>
  <c r="L73" i="11" s="1"/>
  <c r="E73" i="11" s="1"/>
  <c r="K75" i="11"/>
  <c r="L75" i="11" s="1"/>
  <c r="K79" i="11"/>
  <c r="L79" i="11" s="1"/>
  <c r="E79" i="11" s="1"/>
  <c r="K65" i="11"/>
  <c r="L65" i="11" s="1"/>
  <c r="K49" i="11"/>
  <c r="L49" i="11" s="1"/>
  <c r="K44" i="11"/>
  <c r="L44" i="11" s="1"/>
  <c r="K63" i="11"/>
  <c r="L63" i="11" s="1"/>
  <c r="E63" i="11" s="1"/>
  <c r="K98" i="11"/>
  <c r="L98" i="11" s="1"/>
  <c r="K85" i="11"/>
  <c r="L85" i="11" s="1"/>
  <c r="E85" i="11" s="1"/>
  <c r="K71" i="11"/>
  <c r="L71" i="11" s="1"/>
  <c r="K90" i="11"/>
  <c r="L90" i="11" s="1"/>
  <c r="E90" i="11" s="1"/>
  <c r="K38" i="11"/>
  <c r="L38" i="11" s="1"/>
  <c r="K60" i="11"/>
  <c r="L60" i="11" s="1"/>
  <c r="K101" i="11"/>
  <c r="L101" i="11" s="1"/>
  <c r="K37" i="11"/>
  <c r="L37" i="11" s="1"/>
  <c r="E37" i="11" s="1"/>
  <c r="K50" i="11"/>
  <c r="L50" i="11" s="1"/>
  <c r="K61" i="11"/>
  <c r="L61" i="11" s="1"/>
  <c r="E61" i="11" s="1"/>
  <c r="K102" i="11"/>
  <c r="K103" i="11"/>
  <c r="L103" i="11" s="1"/>
  <c r="E103" i="11" s="1"/>
  <c r="K67" i="11"/>
  <c r="L67" i="11" s="1"/>
  <c r="K104" i="11"/>
  <c r="L104" i="11" s="1"/>
  <c r="K32" i="11"/>
  <c r="L32" i="11" s="1"/>
  <c r="K105" i="11"/>
  <c r="L105" i="11" s="1"/>
  <c r="E105" i="11" s="1"/>
  <c r="K106" i="11"/>
  <c r="L106" i="11" s="1"/>
  <c r="K72" i="11"/>
  <c r="L72" i="11" s="1"/>
  <c r="E72" i="11" s="1"/>
  <c r="K84" i="11"/>
  <c r="L84" i="11" s="1"/>
  <c r="K107" i="11"/>
  <c r="L107" i="11" s="1"/>
  <c r="E107" i="11" s="1"/>
  <c r="K108" i="11"/>
  <c r="L108" i="11" s="1"/>
  <c r="K42" i="11"/>
  <c r="L42" i="11" s="1"/>
  <c r="K109" i="11"/>
  <c r="L109" i="11" s="1"/>
  <c r="K78" i="11"/>
  <c r="L78" i="11" s="1"/>
  <c r="E78" i="11" s="1"/>
  <c r="K57" i="11"/>
  <c r="L57" i="11" s="1"/>
  <c r="K34" i="11"/>
  <c r="L34" i="11" s="1"/>
  <c r="E34" i="11" s="1"/>
  <c r="K58" i="11"/>
  <c r="L58" i="11" s="1"/>
  <c r="K91" i="11"/>
  <c r="L91" i="11" s="1"/>
  <c r="E91" i="11" s="1"/>
  <c r="K70" i="11"/>
  <c r="L70" i="11" s="1"/>
  <c r="K68" i="11"/>
  <c r="L68" i="11" s="1"/>
  <c r="K88" i="11"/>
  <c r="L88" i="11" s="1"/>
  <c r="K87" i="11"/>
  <c r="L87" i="11" s="1"/>
  <c r="E87" i="11" s="1"/>
  <c r="K110" i="11"/>
  <c r="L110" i="11" s="1"/>
  <c r="K74" i="11"/>
  <c r="L74" i="11" s="1"/>
  <c r="E74" i="11" s="1"/>
  <c r="K82" i="11"/>
  <c r="L82" i="11" s="1"/>
  <c r="K86" i="11"/>
  <c r="L86" i="11" s="1"/>
  <c r="E86" i="11" s="1"/>
  <c r="K93" i="11"/>
  <c r="L93" i="11" s="1"/>
  <c r="K100" i="11"/>
  <c r="L100" i="11" s="1"/>
  <c r="K111" i="11"/>
  <c r="L111" i="11" s="1"/>
  <c r="K59" i="11"/>
  <c r="L59" i="11" s="1"/>
  <c r="E59" i="11" s="1"/>
  <c r="K94" i="11"/>
  <c r="L94" i="11" s="1"/>
  <c r="K112" i="11"/>
  <c r="L112" i="11" s="1"/>
  <c r="E112" i="11" s="1"/>
  <c r="K113" i="11"/>
  <c r="L113" i="11" s="1"/>
  <c r="K114" i="11"/>
  <c r="L114" i="11" s="1"/>
  <c r="E114" i="11" s="1"/>
  <c r="K115" i="11"/>
  <c r="L115" i="11" s="1"/>
  <c r="K48" i="11"/>
  <c r="L48" i="11" s="1"/>
  <c r="K116" i="11"/>
  <c r="L116" i="11" s="1"/>
  <c r="K117" i="11"/>
  <c r="L117" i="11" s="1"/>
  <c r="E117" i="11" s="1"/>
  <c r="K95" i="11"/>
  <c r="L95" i="11" s="1"/>
  <c r="K12" i="11"/>
  <c r="L12" i="11" s="1"/>
  <c r="E12" i="11" s="1"/>
  <c r="K53" i="11"/>
  <c r="K80" i="11"/>
  <c r="L80" i="11" s="1"/>
  <c r="E80" i="11" s="1"/>
  <c r="K118" i="11"/>
  <c r="L118" i="11" s="1"/>
  <c r="K76" i="11"/>
  <c r="L76" i="11" s="1"/>
  <c r="K119" i="11"/>
  <c r="L119" i="11" s="1"/>
  <c r="K120" i="11"/>
  <c r="L120" i="11" s="1"/>
  <c r="E120" i="11" s="1"/>
  <c r="K96" i="11"/>
  <c r="L96" i="11" s="1"/>
  <c r="K99" i="11"/>
  <c r="L99" i="11" s="1"/>
  <c r="E99" i="11" s="1"/>
  <c r="K121" i="11"/>
  <c r="L121" i="11" s="1"/>
  <c r="K122" i="11"/>
  <c r="L122" i="11" s="1"/>
  <c r="E122" i="11" s="1"/>
  <c r="K123" i="11"/>
  <c r="L123" i="11" s="1"/>
  <c r="K124" i="11"/>
  <c r="L124" i="11" s="1"/>
  <c r="I4" i="11"/>
  <c r="J4" i="11" s="1"/>
  <c r="I31" i="11"/>
  <c r="J31" i="11" s="1"/>
  <c r="I23" i="11"/>
  <c r="J23" i="11" s="1"/>
  <c r="I15" i="11"/>
  <c r="J15" i="11" s="1"/>
  <c r="I6" i="11"/>
  <c r="J6" i="11" s="1"/>
  <c r="I25" i="11"/>
  <c r="J25" i="11" s="1"/>
  <c r="I5" i="11"/>
  <c r="J5" i="11" s="1"/>
  <c r="I8" i="11"/>
  <c r="J8" i="11" s="1"/>
  <c r="I20" i="11"/>
  <c r="J20" i="11" s="1"/>
  <c r="I14" i="11"/>
  <c r="J14" i="11" s="1"/>
  <c r="I54" i="11"/>
  <c r="J54" i="11" s="1"/>
  <c r="I21" i="11"/>
  <c r="J21" i="11" s="1"/>
  <c r="I7" i="11"/>
  <c r="J7" i="11" s="1"/>
  <c r="I10" i="11"/>
  <c r="J10" i="11" s="1"/>
  <c r="I27" i="11"/>
  <c r="J27" i="11" s="1"/>
  <c r="I33" i="11"/>
  <c r="J33" i="11" s="1"/>
  <c r="I24" i="11"/>
  <c r="J24" i="11" s="1"/>
  <c r="I11" i="11"/>
  <c r="J11" i="11" s="1"/>
  <c r="I26" i="11"/>
  <c r="J26" i="11" s="1"/>
  <c r="I62" i="11"/>
  <c r="J62" i="11" s="1"/>
  <c r="I43" i="11"/>
  <c r="J43" i="11" s="1"/>
  <c r="I55" i="11"/>
  <c r="J55" i="11" s="1"/>
  <c r="I69" i="11"/>
  <c r="J69" i="11" s="1"/>
  <c r="I17" i="11"/>
  <c r="J17" i="11" s="1"/>
  <c r="I13" i="11"/>
  <c r="J13" i="11" s="1"/>
  <c r="I51" i="11"/>
  <c r="J51" i="11" s="1"/>
  <c r="I18" i="11"/>
  <c r="J18" i="11" s="1"/>
  <c r="I28" i="11"/>
  <c r="J28" i="11" s="1"/>
  <c r="I41" i="11"/>
  <c r="J41" i="11" s="1"/>
  <c r="I9" i="11"/>
  <c r="J9" i="11" s="1"/>
  <c r="I47" i="11"/>
  <c r="J47" i="11" s="1"/>
  <c r="I40" i="11"/>
  <c r="J40" i="11" s="1"/>
  <c r="I16" i="11"/>
  <c r="J16" i="11" s="1"/>
  <c r="I64" i="11"/>
  <c r="J64" i="11" s="1"/>
  <c r="I36" i="11"/>
  <c r="J36" i="11" s="1"/>
  <c r="I22" i="11"/>
  <c r="J22" i="11" s="1"/>
  <c r="I45" i="11"/>
  <c r="J45" i="11" s="1"/>
  <c r="I29" i="11"/>
  <c r="J29" i="11" s="1"/>
  <c r="I39" i="11"/>
  <c r="J39" i="11" s="1"/>
  <c r="I77" i="11"/>
  <c r="J77" i="11" s="1"/>
  <c r="I35" i="11"/>
  <c r="J35" i="11" s="1"/>
  <c r="I81" i="11"/>
  <c r="J81" i="11" s="1"/>
  <c r="I66" i="11"/>
  <c r="J66" i="11" s="1"/>
  <c r="I30" i="11"/>
  <c r="J30" i="11" s="1"/>
  <c r="I46" i="11"/>
  <c r="J46" i="11" s="1"/>
  <c r="I92" i="11"/>
  <c r="J92" i="11" s="1"/>
  <c r="I83" i="11"/>
  <c r="J83" i="11" s="1"/>
  <c r="I56" i="11"/>
  <c r="J56" i="11" s="1"/>
  <c r="I52" i="11"/>
  <c r="J52" i="11" s="1"/>
  <c r="I89" i="11"/>
  <c r="J89" i="11" s="1"/>
  <c r="I97" i="11"/>
  <c r="J97" i="11" s="1"/>
  <c r="I19" i="11"/>
  <c r="J19" i="11" s="1"/>
  <c r="I73" i="11"/>
  <c r="J73" i="11" s="1"/>
  <c r="I75" i="11"/>
  <c r="J75" i="11" s="1"/>
  <c r="I79" i="11"/>
  <c r="J79" i="11" s="1"/>
  <c r="I65" i="11"/>
  <c r="J65" i="11" s="1"/>
  <c r="I49" i="11"/>
  <c r="J49" i="11" s="1"/>
  <c r="I44" i="11"/>
  <c r="J44" i="11" s="1"/>
  <c r="I63" i="11"/>
  <c r="J63" i="11" s="1"/>
  <c r="I98" i="11"/>
  <c r="J98" i="11" s="1"/>
  <c r="I85" i="11"/>
  <c r="J85" i="11" s="1"/>
  <c r="I71" i="11"/>
  <c r="J71" i="11" s="1"/>
  <c r="I90" i="11"/>
  <c r="J90" i="11" s="1"/>
  <c r="I38" i="11"/>
  <c r="J38" i="11" s="1"/>
  <c r="I60" i="11"/>
  <c r="J60" i="11" s="1"/>
  <c r="I101" i="11"/>
  <c r="J101" i="11" s="1"/>
  <c r="I37" i="11"/>
  <c r="J37" i="11" s="1"/>
  <c r="I50" i="11"/>
  <c r="J50" i="11" s="1"/>
  <c r="I61" i="11"/>
  <c r="J61" i="11" s="1"/>
  <c r="I102" i="11"/>
  <c r="J102" i="11" s="1"/>
  <c r="I103" i="11"/>
  <c r="J103" i="11" s="1"/>
  <c r="I67" i="11"/>
  <c r="J67" i="11" s="1"/>
  <c r="I104" i="11"/>
  <c r="J104" i="11" s="1"/>
  <c r="I32" i="11"/>
  <c r="J32" i="11" s="1"/>
  <c r="I105" i="11"/>
  <c r="J105" i="11" s="1"/>
  <c r="I106" i="11"/>
  <c r="J106" i="11" s="1"/>
  <c r="I72" i="11"/>
  <c r="J72" i="11" s="1"/>
  <c r="I84" i="11"/>
  <c r="J84" i="11" s="1"/>
  <c r="I107" i="11"/>
  <c r="J107" i="11" s="1"/>
  <c r="I108" i="11"/>
  <c r="J108" i="11" s="1"/>
  <c r="I42" i="11"/>
  <c r="J42" i="11" s="1"/>
  <c r="I109" i="11"/>
  <c r="J109" i="11" s="1"/>
  <c r="I78" i="11"/>
  <c r="J78" i="11" s="1"/>
  <c r="I57" i="11"/>
  <c r="J57" i="11" s="1"/>
  <c r="I34" i="11"/>
  <c r="J34" i="11" s="1"/>
  <c r="I58" i="11"/>
  <c r="J58" i="11" s="1"/>
  <c r="I91" i="11"/>
  <c r="J91" i="11" s="1"/>
  <c r="I70" i="11"/>
  <c r="J70" i="11" s="1"/>
  <c r="I68" i="11"/>
  <c r="J68" i="11" s="1"/>
  <c r="I88" i="11"/>
  <c r="J88" i="11" s="1"/>
  <c r="I87" i="11"/>
  <c r="J87" i="11" s="1"/>
  <c r="I110" i="11"/>
  <c r="J110" i="11" s="1"/>
  <c r="I74" i="11"/>
  <c r="J74" i="11" s="1"/>
  <c r="I82" i="11"/>
  <c r="J82" i="11" s="1"/>
  <c r="I86" i="11"/>
  <c r="J86" i="11" s="1"/>
  <c r="I93" i="11"/>
  <c r="J93" i="11" s="1"/>
  <c r="I100" i="11"/>
  <c r="J100" i="11" s="1"/>
  <c r="I111" i="11"/>
  <c r="J111" i="11" s="1"/>
  <c r="I59" i="11"/>
  <c r="J59" i="11" s="1"/>
  <c r="I94" i="11"/>
  <c r="J94" i="11" s="1"/>
  <c r="I112" i="11"/>
  <c r="J112" i="11" s="1"/>
  <c r="I113" i="11"/>
  <c r="J113" i="11" s="1"/>
  <c r="I114" i="11"/>
  <c r="J114" i="11" s="1"/>
  <c r="I115" i="11"/>
  <c r="J115" i="11" s="1"/>
  <c r="I48" i="11"/>
  <c r="J48" i="11" s="1"/>
  <c r="I116" i="11"/>
  <c r="J116" i="11" s="1"/>
  <c r="I117" i="11"/>
  <c r="J117" i="11" s="1"/>
  <c r="I95" i="11"/>
  <c r="J95" i="11" s="1"/>
  <c r="I12" i="11"/>
  <c r="J12" i="11" s="1"/>
  <c r="I53" i="11"/>
  <c r="J53" i="11" s="1"/>
  <c r="I80" i="11"/>
  <c r="J80" i="11" s="1"/>
  <c r="I118" i="11"/>
  <c r="J118" i="11" s="1"/>
  <c r="I76" i="11"/>
  <c r="J76" i="11" s="1"/>
  <c r="I119" i="11"/>
  <c r="J119" i="11" s="1"/>
  <c r="I120" i="11"/>
  <c r="J120" i="11" s="1"/>
  <c r="I96" i="11"/>
  <c r="J96" i="11" s="1"/>
  <c r="I99" i="11"/>
  <c r="J99" i="11" s="1"/>
  <c r="I121" i="11"/>
  <c r="J121" i="11" s="1"/>
  <c r="I122" i="11"/>
  <c r="J122" i="11" s="1"/>
  <c r="I123" i="11"/>
  <c r="J123" i="11" s="1"/>
  <c r="I124" i="11"/>
  <c r="J124" i="11" s="1"/>
  <c r="G4" i="11"/>
  <c r="H4" i="11" s="1"/>
  <c r="F4" i="11" s="1"/>
  <c r="G31" i="11"/>
  <c r="H31" i="11" s="1"/>
  <c r="G23" i="11"/>
  <c r="H23" i="11" s="1"/>
  <c r="F23" i="11" s="1"/>
  <c r="G15" i="11"/>
  <c r="H15" i="11" s="1"/>
  <c r="G6" i="11"/>
  <c r="H6" i="11" s="1"/>
  <c r="F6" i="11" s="1"/>
  <c r="G25" i="11"/>
  <c r="H25" i="11" s="1"/>
  <c r="G5" i="11"/>
  <c r="H5" i="11" s="1"/>
  <c r="G8" i="11"/>
  <c r="H8" i="11" s="1"/>
  <c r="G20" i="11"/>
  <c r="H20" i="11" s="1"/>
  <c r="F20" i="11" s="1"/>
  <c r="G14" i="11"/>
  <c r="H14" i="11" s="1"/>
  <c r="G54" i="11"/>
  <c r="H54" i="11" s="1"/>
  <c r="F54" i="11" s="1"/>
  <c r="G21" i="11"/>
  <c r="H21" i="11" s="1"/>
  <c r="G7" i="11"/>
  <c r="H7" i="11" s="1"/>
  <c r="F7" i="11" s="1"/>
  <c r="G10" i="11"/>
  <c r="H10" i="11" s="1"/>
  <c r="G27" i="11"/>
  <c r="H27" i="11" s="1"/>
  <c r="G33" i="11"/>
  <c r="H33" i="11" s="1"/>
  <c r="G24" i="11"/>
  <c r="H24" i="11" s="1"/>
  <c r="F24" i="11" s="1"/>
  <c r="G11" i="11"/>
  <c r="H11" i="11" s="1"/>
  <c r="G26" i="11"/>
  <c r="H26" i="11" s="1"/>
  <c r="F26" i="11" s="1"/>
  <c r="G62" i="11"/>
  <c r="H62" i="11" s="1"/>
  <c r="G43" i="11"/>
  <c r="H43" i="11" s="1"/>
  <c r="F43" i="11" s="1"/>
  <c r="G55" i="11"/>
  <c r="H55" i="11" s="1"/>
  <c r="G69" i="11"/>
  <c r="H69" i="11" s="1"/>
  <c r="G17" i="11"/>
  <c r="H17" i="11" s="1"/>
  <c r="G13" i="11"/>
  <c r="H13" i="11" s="1"/>
  <c r="F13" i="11" s="1"/>
  <c r="G51" i="11"/>
  <c r="H51" i="11" s="1"/>
  <c r="G18" i="11"/>
  <c r="H18" i="11" s="1"/>
  <c r="F18" i="11" s="1"/>
  <c r="G28" i="11"/>
  <c r="H28" i="11" s="1"/>
  <c r="G41" i="11"/>
  <c r="H41" i="11" s="1"/>
  <c r="F41" i="11" s="1"/>
  <c r="G9" i="11"/>
  <c r="H9" i="11" s="1"/>
  <c r="G47" i="11"/>
  <c r="H47" i="11" s="1"/>
  <c r="G40" i="11"/>
  <c r="H40" i="11" s="1"/>
  <c r="G16" i="11"/>
  <c r="H16" i="11" s="1"/>
  <c r="F16" i="11" s="1"/>
  <c r="G64" i="11"/>
  <c r="H64" i="11" s="1"/>
  <c r="G36" i="11"/>
  <c r="H36" i="11" s="1"/>
  <c r="F36" i="11" s="1"/>
  <c r="G22" i="11"/>
  <c r="H22" i="11" s="1"/>
  <c r="G45" i="11"/>
  <c r="H45" i="11" s="1"/>
  <c r="F45" i="11" s="1"/>
  <c r="G29" i="11"/>
  <c r="H29" i="11" s="1"/>
  <c r="G39" i="11"/>
  <c r="H39" i="11" s="1"/>
  <c r="G77" i="11"/>
  <c r="H77" i="11" s="1"/>
  <c r="G35" i="11"/>
  <c r="H35" i="11" s="1"/>
  <c r="F35" i="11" s="1"/>
  <c r="G81" i="11"/>
  <c r="H81" i="11" s="1"/>
  <c r="G66" i="11"/>
  <c r="H66" i="11" s="1"/>
  <c r="F66" i="11" s="1"/>
  <c r="G30" i="11"/>
  <c r="H30" i="11" s="1"/>
  <c r="G46" i="11"/>
  <c r="H46" i="11" s="1"/>
  <c r="F46" i="11" s="1"/>
  <c r="G92" i="11"/>
  <c r="H92" i="11" s="1"/>
  <c r="G83" i="11"/>
  <c r="H83" i="11" s="1"/>
  <c r="G56" i="11"/>
  <c r="H56" i="11" s="1"/>
  <c r="G52" i="11"/>
  <c r="H52" i="11" s="1"/>
  <c r="F52" i="11" s="1"/>
  <c r="G89" i="11"/>
  <c r="H89" i="11" s="1"/>
  <c r="G97" i="11"/>
  <c r="H97" i="11" s="1"/>
  <c r="F97" i="11" s="1"/>
  <c r="G19" i="11"/>
  <c r="H19" i="11" s="1"/>
  <c r="G73" i="11"/>
  <c r="H73" i="11" s="1"/>
  <c r="F73" i="11" s="1"/>
  <c r="G75" i="11"/>
  <c r="H75" i="11" s="1"/>
  <c r="G79" i="11"/>
  <c r="H79" i="11" s="1"/>
  <c r="G65" i="11"/>
  <c r="H65" i="11" s="1"/>
  <c r="G49" i="11"/>
  <c r="H49" i="11" s="1"/>
  <c r="F49" i="11" s="1"/>
  <c r="G44" i="11"/>
  <c r="H44" i="11" s="1"/>
  <c r="G63" i="11"/>
  <c r="H63" i="11" s="1"/>
  <c r="F63" i="11" s="1"/>
  <c r="G98" i="11"/>
  <c r="H98" i="11" s="1"/>
  <c r="G85" i="11"/>
  <c r="H85" i="11" s="1"/>
  <c r="F85" i="11" s="1"/>
  <c r="G71" i="11"/>
  <c r="H71" i="11" s="1"/>
  <c r="G90" i="11"/>
  <c r="H90" i="11" s="1"/>
  <c r="G38" i="11"/>
  <c r="H38" i="11" s="1"/>
  <c r="G60" i="11"/>
  <c r="H60" i="11" s="1"/>
  <c r="F60" i="11" s="1"/>
  <c r="G101" i="11"/>
  <c r="H101" i="11" s="1"/>
  <c r="G37" i="11"/>
  <c r="H37" i="11" s="1"/>
  <c r="F37" i="11" s="1"/>
  <c r="G50" i="11"/>
  <c r="H50" i="11" s="1"/>
  <c r="G61" i="11"/>
  <c r="H61" i="11" s="1"/>
  <c r="F61" i="11" s="1"/>
  <c r="G102" i="11"/>
  <c r="H102" i="11" s="1"/>
  <c r="G103" i="11"/>
  <c r="H103" i="11" s="1"/>
  <c r="G67" i="11"/>
  <c r="H67" i="11" s="1"/>
  <c r="G104" i="11"/>
  <c r="H104" i="11" s="1"/>
  <c r="F104" i="11" s="1"/>
  <c r="G32" i="11"/>
  <c r="H32" i="11" s="1"/>
  <c r="G105" i="11"/>
  <c r="H105" i="11" s="1"/>
  <c r="F105" i="11" s="1"/>
  <c r="G106" i="11"/>
  <c r="H106" i="11" s="1"/>
  <c r="G72" i="11"/>
  <c r="H72" i="11" s="1"/>
  <c r="F72" i="11" s="1"/>
  <c r="G84" i="11"/>
  <c r="H84" i="11" s="1"/>
  <c r="G107" i="11"/>
  <c r="H107" i="11" s="1"/>
  <c r="G108" i="11"/>
  <c r="H108" i="11" s="1"/>
  <c r="G42" i="11"/>
  <c r="H42" i="11" s="1"/>
  <c r="F42" i="11" s="1"/>
  <c r="G109" i="11"/>
  <c r="H109" i="11" s="1"/>
  <c r="G78" i="11"/>
  <c r="H78" i="11" s="1"/>
  <c r="F78" i="11" s="1"/>
  <c r="G57" i="11"/>
  <c r="H57" i="11" s="1"/>
  <c r="G34" i="11"/>
  <c r="H34" i="11" s="1"/>
  <c r="F34" i="11" s="1"/>
  <c r="G58" i="11"/>
  <c r="H58" i="11" s="1"/>
  <c r="G91" i="11"/>
  <c r="H91" i="11" s="1"/>
  <c r="G70" i="11"/>
  <c r="H70" i="11" s="1"/>
  <c r="G68" i="11"/>
  <c r="H68" i="11" s="1"/>
  <c r="F68" i="11" s="1"/>
  <c r="G88" i="11"/>
  <c r="H88" i="11" s="1"/>
  <c r="G87" i="11"/>
  <c r="H87" i="11" s="1"/>
  <c r="F87" i="11" s="1"/>
  <c r="G110" i="11"/>
  <c r="H110" i="11" s="1"/>
  <c r="G74" i="11"/>
  <c r="H74" i="11" s="1"/>
  <c r="F74" i="11" s="1"/>
  <c r="G82" i="11"/>
  <c r="H82" i="11" s="1"/>
  <c r="G86" i="11"/>
  <c r="H86" i="11" s="1"/>
  <c r="G93" i="11"/>
  <c r="H93" i="11" s="1"/>
  <c r="G100" i="11"/>
  <c r="H100" i="11" s="1"/>
  <c r="F100" i="11" s="1"/>
  <c r="G111" i="11"/>
  <c r="H111" i="11" s="1"/>
  <c r="G59" i="11"/>
  <c r="H59" i="11" s="1"/>
  <c r="F59" i="11" s="1"/>
  <c r="G94" i="11"/>
  <c r="H94" i="11" s="1"/>
  <c r="G112" i="11"/>
  <c r="H112" i="11" s="1"/>
  <c r="F112" i="11" s="1"/>
  <c r="G113" i="11"/>
  <c r="H113" i="11" s="1"/>
  <c r="G114" i="11"/>
  <c r="H114" i="11" s="1"/>
  <c r="G115" i="11"/>
  <c r="H115" i="11" s="1"/>
  <c r="G48" i="11"/>
  <c r="H48" i="11" s="1"/>
  <c r="F48" i="11" s="1"/>
  <c r="G116" i="11"/>
  <c r="H116" i="11" s="1"/>
  <c r="G117" i="11"/>
  <c r="H117" i="11" s="1"/>
  <c r="F117" i="11" s="1"/>
  <c r="G95" i="11"/>
  <c r="H95" i="11" s="1"/>
  <c r="G12" i="11"/>
  <c r="H12" i="11" s="1"/>
  <c r="F12" i="11" s="1"/>
  <c r="G53" i="11"/>
  <c r="H53" i="11" s="1"/>
  <c r="G80" i="11"/>
  <c r="H80" i="11" s="1"/>
  <c r="G118" i="11"/>
  <c r="H118" i="11" s="1"/>
  <c r="G76" i="11"/>
  <c r="H76" i="11" s="1"/>
  <c r="F76" i="11" s="1"/>
  <c r="G119" i="11"/>
  <c r="H119" i="11" s="1"/>
  <c r="G120" i="11"/>
  <c r="H120" i="11" s="1"/>
  <c r="F120" i="11" s="1"/>
  <c r="G96" i="11"/>
  <c r="H96" i="11" s="1"/>
  <c r="G99" i="11"/>
  <c r="H99" i="11" s="1"/>
  <c r="F99" i="11" s="1"/>
  <c r="G121" i="11"/>
  <c r="H121" i="11" s="1"/>
  <c r="G122" i="11"/>
  <c r="H122" i="11" s="1"/>
  <c r="G123" i="11"/>
  <c r="H123" i="11" s="1"/>
  <c r="G124" i="11"/>
  <c r="H124" i="11" s="1"/>
  <c r="F124" i="11" s="1"/>
  <c r="J124" i="12"/>
  <c r="K124" i="12" s="1"/>
  <c r="H124" i="12"/>
  <c r="I124" i="12" s="1"/>
  <c r="T124" i="12"/>
  <c r="W124" i="12" s="1"/>
  <c r="S124" i="12"/>
  <c r="V124" i="12" s="1"/>
  <c r="R124" i="12"/>
  <c r="U124" i="12" s="1"/>
  <c r="J123" i="12"/>
  <c r="K123" i="12" s="1"/>
  <c r="H123" i="12"/>
  <c r="I123" i="12" s="1"/>
  <c r="T123" i="12"/>
  <c r="W123" i="12" s="1"/>
  <c r="S123" i="12"/>
  <c r="V123" i="12" s="1"/>
  <c r="R123" i="12"/>
  <c r="U123" i="12" s="1"/>
  <c r="J122" i="12"/>
  <c r="K122" i="12" s="1"/>
  <c r="H122" i="12"/>
  <c r="I122" i="12" s="1"/>
  <c r="T122" i="12"/>
  <c r="W122" i="12" s="1"/>
  <c r="S122" i="12"/>
  <c r="V122" i="12" s="1"/>
  <c r="R122" i="12"/>
  <c r="U122" i="12" s="1"/>
  <c r="J121" i="12"/>
  <c r="K121" i="12" s="1"/>
  <c r="H121" i="12"/>
  <c r="I121" i="12" s="1"/>
  <c r="T121" i="12"/>
  <c r="W121" i="12" s="1"/>
  <c r="S121" i="12"/>
  <c r="V121" i="12" s="1"/>
  <c r="R121" i="12"/>
  <c r="U121" i="12" s="1"/>
  <c r="J120" i="12"/>
  <c r="K120" i="12" s="1"/>
  <c r="H120" i="12"/>
  <c r="I120" i="12" s="1"/>
  <c r="T120" i="12"/>
  <c r="W120" i="12" s="1"/>
  <c r="S120" i="12"/>
  <c r="V120" i="12" s="1"/>
  <c r="R120" i="12"/>
  <c r="U120" i="12" s="1"/>
  <c r="J119" i="12"/>
  <c r="K119" i="12" s="1"/>
  <c r="H119" i="12"/>
  <c r="I119" i="12" s="1"/>
  <c r="T119" i="12"/>
  <c r="W119" i="12" s="1"/>
  <c r="S119" i="12"/>
  <c r="V119" i="12" s="1"/>
  <c r="R119" i="12"/>
  <c r="U119" i="12" s="1"/>
  <c r="J118" i="12"/>
  <c r="K118" i="12" s="1"/>
  <c r="H118" i="12"/>
  <c r="I118" i="12" s="1"/>
  <c r="T118" i="12"/>
  <c r="W118" i="12" s="1"/>
  <c r="S118" i="12"/>
  <c r="V118" i="12" s="1"/>
  <c r="R118" i="12"/>
  <c r="U118" i="12" s="1"/>
  <c r="J117" i="12"/>
  <c r="K117" i="12" s="1"/>
  <c r="H117" i="12"/>
  <c r="I117" i="12" s="1"/>
  <c r="T117" i="12"/>
  <c r="W117" i="12" s="1"/>
  <c r="S117" i="12"/>
  <c r="V117" i="12" s="1"/>
  <c r="R117" i="12"/>
  <c r="U117" i="12" s="1"/>
  <c r="J116" i="12"/>
  <c r="K116" i="12" s="1"/>
  <c r="H116" i="12"/>
  <c r="I116" i="12" s="1"/>
  <c r="G116" i="12" s="1"/>
  <c r="T116" i="12"/>
  <c r="W116" i="12" s="1"/>
  <c r="S116" i="12"/>
  <c r="V116" i="12" s="1"/>
  <c r="R116" i="12"/>
  <c r="U116" i="12" s="1"/>
  <c r="J115" i="12"/>
  <c r="K115" i="12" s="1"/>
  <c r="H115" i="12"/>
  <c r="I115" i="12" s="1"/>
  <c r="T115" i="12"/>
  <c r="W115" i="12" s="1"/>
  <c r="S115" i="12"/>
  <c r="V115" i="12" s="1"/>
  <c r="R115" i="12"/>
  <c r="U115" i="12" s="1"/>
  <c r="J114" i="12"/>
  <c r="K114" i="12" s="1"/>
  <c r="H114" i="12"/>
  <c r="I114" i="12" s="1"/>
  <c r="T114" i="12"/>
  <c r="W114" i="12" s="1"/>
  <c r="S114" i="12"/>
  <c r="V114" i="12" s="1"/>
  <c r="R114" i="12"/>
  <c r="U114" i="12" s="1"/>
  <c r="J113" i="12"/>
  <c r="K113" i="12" s="1"/>
  <c r="H113" i="12"/>
  <c r="I113" i="12" s="1"/>
  <c r="T113" i="12"/>
  <c r="W113" i="12" s="1"/>
  <c r="S113" i="12"/>
  <c r="V113" i="12" s="1"/>
  <c r="R113" i="12"/>
  <c r="U113" i="12" s="1"/>
  <c r="J112" i="12"/>
  <c r="K112" i="12" s="1"/>
  <c r="H112" i="12"/>
  <c r="I112" i="12" s="1"/>
  <c r="G112" i="12" s="1"/>
  <c r="T112" i="12"/>
  <c r="W112" i="12" s="1"/>
  <c r="S112" i="12"/>
  <c r="V112" i="12" s="1"/>
  <c r="R112" i="12"/>
  <c r="U112" i="12" s="1"/>
  <c r="J111" i="12"/>
  <c r="K111" i="12" s="1"/>
  <c r="H111" i="12"/>
  <c r="I111" i="12" s="1"/>
  <c r="T111" i="12"/>
  <c r="W111" i="12" s="1"/>
  <c r="S111" i="12"/>
  <c r="V111" i="12" s="1"/>
  <c r="R111" i="12"/>
  <c r="U111" i="12" s="1"/>
  <c r="J110" i="12"/>
  <c r="K110" i="12" s="1"/>
  <c r="H110" i="12"/>
  <c r="I110" i="12" s="1"/>
  <c r="T110" i="12"/>
  <c r="W110" i="12" s="1"/>
  <c r="S110" i="12"/>
  <c r="V110" i="12" s="1"/>
  <c r="R110" i="12"/>
  <c r="U110" i="12" s="1"/>
  <c r="J109" i="12"/>
  <c r="K109" i="12" s="1"/>
  <c r="H109" i="12"/>
  <c r="I109" i="12" s="1"/>
  <c r="T109" i="12"/>
  <c r="W109" i="12" s="1"/>
  <c r="S109" i="12"/>
  <c r="V109" i="12" s="1"/>
  <c r="R109" i="12"/>
  <c r="U109" i="12" s="1"/>
  <c r="J108" i="12"/>
  <c r="K108" i="12" s="1"/>
  <c r="H108" i="12"/>
  <c r="I108" i="12" s="1"/>
  <c r="G108" i="12" s="1"/>
  <c r="T108" i="12"/>
  <c r="W108" i="12" s="1"/>
  <c r="S108" i="12"/>
  <c r="V108" i="12" s="1"/>
  <c r="R108" i="12"/>
  <c r="U108" i="12" s="1"/>
  <c r="J107" i="12"/>
  <c r="K107" i="12" s="1"/>
  <c r="H107" i="12"/>
  <c r="I107" i="12" s="1"/>
  <c r="T107" i="12"/>
  <c r="W107" i="12" s="1"/>
  <c r="S107" i="12"/>
  <c r="V107" i="12" s="1"/>
  <c r="R107" i="12"/>
  <c r="U107" i="12" s="1"/>
  <c r="J106" i="12"/>
  <c r="K106" i="12" s="1"/>
  <c r="H106" i="12"/>
  <c r="I106" i="12" s="1"/>
  <c r="T106" i="12"/>
  <c r="W106" i="12" s="1"/>
  <c r="S106" i="12"/>
  <c r="V106" i="12" s="1"/>
  <c r="R106" i="12"/>
  <c r="U106" i="12" s="1"/>
  <c r="J105" i="12"/>
  <c r="K105" i="12" s="1"/>
  <c r="H105" i="12"/>
  <c r="I105" i="12" s="1"/>
  <c r="T105" i="12"/>
  <c r="W105" i="12" s="1"/>
  <c r="S105" i="12"/>
  <c r="V105" i="12" s="1"/>
  <c r="R105" i="12"/>
  <c r="U105" i="12" s="1"/>
  <c r="J104" i="12"/>
  <c r="K104" i="12" s="1"/>
  <c r="H104" i="12"/>
  <c r="I104" i="12" s="1"/>
  <c r="G104" i="12" s="1"/>
  <c r="T104" i="12"/>
  <c r="W104" i="12" s="1"/>
  <c r="S104" i="12"/>
  <c r="V104" i="12" s="1"/>
  <c r="R104" i="12"/>
  <c r="U104" i="12" s="1"/>
  <c r="J103" i="12"/>
  <c r="K103" i="12" s="1"/>
  <c r="H103" i="12"/>
  <c r="I103" i="12" s="1"/>
  <c r="T103" i="12"/>
  <c r="W103" i="12" s="1"/>
  <c r="S103" i="12"/>
  <c r="V103" i="12" s="1"/>
  <c r="R103" i="12"/>
  <c r="U103" i="12" s="1"/>
  <c r="J102" i="12"/>
  <c r="K102" i="12" s="1"/>
  <c r="H102" i="12"/>
  <c r="I102" i="12" s="1"/>
  <c r="T102" i="12"/>
  <c r="W102" i="12" s="1"/>
  <c r="S102" i="12"/>
  <c r="V102" i="12" s="1"/>
  <c r="R102" i="12"/>
  <c r="U102" i="12" s="1"/>
  <c r="J101" i="12"/>
  <c r="K101" i="12" s="1"/>
  <c r="H101" i="12"/>
  <c r="I101" i="12" s="1"/>
  <c r="T101" i="12"/>
  <c r="W101" i="12" s="1"/>
  <c r="S101" i="12"/>
  <c r="V101" i="12" s="1"/>
  <c r="R101" i="12"/>
  <c r="U101" i="12" s="1"/>
  <c r="J100" i="12"/>
  <c r="K100" i="12" s="1"/>
  <c r="H100" i="12"/>
  <c r="I100" i="12" s="1"/>
  <c r="G100" i="12" s="1"/>
  <c r="T100" i="12"/>
  <c r="W100" i="12" s="1"/>
  <c r="S100" i="12"/>
  <c r="V100" i="12" s="1"/>
  <c r="R100" i="12"/>
  <c r="U100" i="12" s="1"/>
  <c r="J99" i="12"/>
  <c r="K99" i="12" s="1"/>
  <c r="H99" i="12"/>
  <c r="I99" i="12" s="1"/>
  <c r="T99" i="12"/>
  <c r="W99" i="12" s="1"/>
  <c r="S99" i="12"/>
  <c r="V99" i="12" s="1"/>
  <c r="R99" i="12"/>
  <c r="U99" i="12" s="1"/>
  <c r="J98" i="12"/>
  <c r="K98" i="12" s="1"/>
  <c r="H98" i="12"/>
  <c r="I98" i="12" s="1"/>
  <c r="T98" i="12"/>
  <c r="W98" i="12" s="1"/>
  <c r="S98" i="12"/>
  <c r="V98" i="12" s="1"/>
  <c r="R98" i="12"/>
  <c r="U98" i="12" s="1"/>
  <c r="J97" i="12"/>
  <c r="K97" i="12" s="1"/>
  <c r="H97" i="12"/>
  <c r="I97" i="12" s="1"/>
  <c r="T97" i="12"/>
  <c r="W97" i="12" s="1"/>
  <c r="S97" i="12"/>
  <c r="V97" i="12" s="1"/>
  <c r="R97" i="12"/>
  <c r="U97" i="12" s="1"/>
  <c r="J96" i="12"/>
  <c r="K96" i="12" s="1"/>
  <c r="H96" i="12"/>
  <c r="I96" i="12" s="1"/>
  <c r="G96" i="12" s="1"/>
  <c r="T96" i="12"/>
  <c r="W96" i="12" s="1"/>
  <c r="S96" i="12"/>
  <c r="V96" i="12" s="1"/>
  <c r="R96" i="12"/>
  <c r="U96" i="12" s="1"/>
  <c r="J95" i="12"/>
  <c r="K95" i="12" s="1"/>
  <c r="H95" i="12"/>
  <c r="I95" i="12" s="1"/>
  <c r="T95" i="12"/>
  <c r="W95" i="12" s="1"/>
  <c r="S95" i="12"/>
  <c r="V95" i="12" s="1"/>
  <c r="R95" i="12"/>
  <c r="U95" i="12" s="1"/>
  <c r="J94" i="12"/>
  <c r="K94" i="12" s="1"/>
  <c r="H94" i="12"/>
  <c r="I94" i="12" s="1"/>
  <c r="T94" i="12"/>
  <c r="W94" i="12" s="1"/>
  <c r="S94" i="12"/>
  <c r="V94" i="12" s="1"/>
  <c r="R94" i="12"/>
  <c r="U94" i="12" s="1"/>
  <c r="J93" i="12"/>
  <c r="K93" i="12" s="1"/>
  <c r="H93" i="12"/>
  <c r="I93" i="12" s="1"/>
  <c r="T93" i="12"/>
  <c r="W93" i="12" s="1"/>
  <c r="S93" i="12"/>
  <c r="V93" i="12" s="1"/>
  <c r="R93" i="12"/>
  <c r="U93" i="12" s="1"/>
  <c r="J92" i="12"/>
  <c r="K92" i="12" s="1"/>
  <c r="H92" i="12"/>
  <c r="I92" i="12" s="1"/>
  <c r="G92" i="12" s="1"/>
  <c r="T92" i="12"/>
  <c r="W92" i="12" s="1"/>
  <c r="S92" i="12"/>
  <c r="V92" i="12" s="1"/>
  <c r="R92" i="12"/>
  <c r="U92" i="12" s="1"/>
  <c r="J91" i="12"/>
  <c r="K91" i="12" s="1"/>
  <c r="H91" i="12"/>
  <c r="I91" i="12" s="1"/>
  <c r="T91" i="12"/>
  <c r="W91" i="12" s="1"/>
  <c r="S91" i="12"/>
  <c r="V91" i="12" s="1"/>
  <c r="R91" i="12"/>
  <c r="U91" i="12" s="1"/>
  <c r="J90" i="12"/>
  <c r="K90" i="12" s="1"/>
  <c r="H90" i="12"/>
  <c r="I90" i="12" s="1"/>
  <c r="T90" i="12"/>
  <c r="W90" i="12" s="1"/>
  <c r="S90" i="12"/>
  <c r="V90" i="12" s="1"/>
  <c r="R90" i="12"/>
  <c r="U90" i="12" s="1"/>
  <c r="J89" i="12"/>
  <c r="K89" i="12" s="1"/>
  <c r="H89" i="12"/>
  <c r="I89" i="12" s="1"/>
  <c r="T89" i="12"/>
  <c r="W89" i="12" s="1"/>
  <c r="S89" i="12"/>
  <c r="V89" i="12" s="1"/>
  <c r="R89" i="12"/>
  <c r="U89" i="12" s="1"/>
  <c r="J88" i="12"/>
  <c r="K88" i="12" s="1"/>
  <c r="H88" i="12"/>
  <c r="I88" i="12" s="1"/>
  <c r="G88" i="12" s="1"/>
  <c r="T88" i="12"/>
  <c r="W88" i="12" s="1"/>
  <c r="S88" i="12"/>
  <c r="V88" i="12" s="1"/>
  <c r="R88" i="12"/>
  <c r="U88" i="12" s="1"/>
  <c r="J87" i="12"/>
  <c r="K87" i="12" s="1"/>
  <c r="H87" i="12"/>
  <c r="I87" i="12" s="1"/>
  <c r="T87" i="12"/>
  <c r="W87" i="12" s="1"/>
  <c r="S87" i="12"/>
  <c r="V87" i="12" s="1"/>
  <c r="R87" i="12"/>
  <c r="U87" i="12" s="1"/>
  <c r="J86" i="12"/>
  <c r="K86" i="12" s="1"/>
  <c r="H86" i="12"/>
  <c r="I86" i="12" s="1"/>
  <c r="T86" i="12"/>
  <c r="W86" i="12" s="1"/>
  <c r="S86" i="12"/>
  <c r="V86" i="12" s="1"/>
  <c r="R86" i="12"/>
  <c r="U86" i="12" s="1"/>
  <c r="J85" i="12"/>
  <c r="K85" i="12" s="1"/>
  <c r="H85" i="12"/>
  <c r="I85" i="12" s="1"/>
  <c r="T85" i="12"/>
  <c r="W85" i="12" s="1"/>
  <c r="S85" i="12"/>
  <c r="V85" i="12" s="1"/>
  <c r="R85" i="12"/>
  <c r="U85" i="12" s="1"/>
  <c r="J84" i="12"/>
  <c r="K84" i="12" s="1"/>
  <c r="H84" i="12"/>
  <c r="I84" i="12" s="1"/>
  <c r="G84" i="12" s="1"/>
  <c r="T84" i="12"/>
  <c r="W84" i="12" s="1"/>
  <c r="S84" i="12"/>
  <c r="V84" i="12" s="1"/>
  <c r="R84" i="12"/>
  <c r="U84" i="12" s="1"/>
  <c r="J83" i="12"/>
  <c r="K83" i="12" s="1"/>
  <c r="H83" i="12"/>
  <c r="I83" i="12" s="1"/>
  <c r="T83" i="12"/>
  <c r="W83" i="12" s="1"/>
  <c r="S83" i="12"/>
  <c r="V83" i="12" s="1"/>
  <c r="R83" i="12"/>
  <c r="U83" i="12" s="1"/>
  <c r="J82" i="12"/>
  <c r="K82" i="12" s="1"/>
  <c r="H82" i="12"/>
  <c r="I82" i="12" s="1"/>
  <c r="T82" i="12"/>
  <c r="W82" i="12" s="1"/>
  <c r="S82" i="12"/>
  <c r="V82" i="12" s="1"/>
  <c r="R82" i="12"/>
  <c r="U82" i="12" s="1"/>
  <c r="J81" i="12"/>
  <c r="K81" i="12" s="1"/>
  <c r="H81" i="12"/>
  <c r="I81" i="12" s="1"/>
  <c r="T81" i="12"/>
  <c r="W81" i="12" s="1"/>
  <c r="S81" i="12"/>
  <c r="V81" i="12" s="1"/>
  <c r="R81" i="12"/>
  <c r="U81" i="12" s="1"/>
  <c r="J80" i="12"/>
  <c r="K80" i="12" s="1"/>
  <c r="H80" i="12"/>
  <c r="I80" i="12" s="1"/>
  <c r="G80" i="12" s="1"/>
  <c r="T80" i="12"/>
  <c r="W80" i="12" s="1"/>
  <c r="S80" i="12"/>
  <c r="V80" i="12" s="1"/>
  <c r="R80" i="12"/>
  <c r="U80" i="12" s="1"/>
  <c r="J79" i="12"/>
  <c r="K79" i="12" s="1"/>
  <c r="H79" i="12"/>
  <c r="I79" i="12" s="1"/>
  <c r="T79" i="12"/>
  <c r="W79" i="12" s="1"/>
  <c r="S79" i="12"/>
  <c r="V79" i="12" s="1"/>
  <c r="R79" i="12"/>
  <c r="U79" i="12" s="1"/>
  <c r="J78" i="12"/>
  <c r="K78" i="12" s="1"/>
  <c r="H78" i="12"/>
  <c r="I78" i="12" s="1"/>
  <c r="T78" i="12"/>
  <c r="W78" i="12" s="1"/>
  <c r="S78" i="12"/>
  <c r="V78" i="12" s="1"/>
  <c r="R78" i="12"/>
  <c r="U78" i="12" s="1"/>
  <c r="J77" i="12"/>
  <c r="K77" i="12" s="1"/>
  <c r="H77" i="12"/>
  <c r="I77" i="12" s="1"/>
  <c r="T77" i="12"/>
  <c r="W77" i="12" s="1"/>
  <c r="S77" i="12"/>
  <c r="V77" i="12" s="1"/>
  <c r="R77" i="12"/>
  <c r="U77" i="12" s="1"/>
  <c r="J76" i="12"/>
  <c r="K76" i="12" s="1"/>
  <c r="H76" i="12"/>
  <c r="I76" i="12" s="1"/>
  <c r="G76" i="12" s="1"/>
  <c r="T76" i="12"/>
  <c r="W76" i="12" s="1"/>
  <c r="S76" i="12"/>
  <c r="V76" i="12" s="1"/>
  <c r="R76" i="12"/>
  <c r="U76" i="12" s="1"/>
  <c r="J75" i="12"/>
  <c r="K75" i="12" s="1"/>
  <c r="H75" i="12"/>
  <c r="I75" i="12" s="1"/>
  <c r="T75" i="12"/>
  <c r="W75" i="12" s="1"/>
  <c r="S75" i="12"/>
  <c r="V75" i="12" s="1"/>
  <c r="R75" i="12"/>
  <c r="U75" i="12" s="1"/>
  <c r="J74" i="12"/>
  <c r="K74" i="12" s="1"/>
  <c r="H74" i="12"/>
  <c r="I74" i="12" s="1"/>
  <c r="T74" i="12"/>
  <c r="W74" i="12" s="1"/>
  <c r="S74" i="12"/>
  <c r="V74" i="12" s="1"/>
  <c r="R74" i="12"/>
  <c r="U74" i="12" s="1"/>
  <c r="J73" i="12"/>
  <c r="K73" i="12" s="1"/>
  <c r="H73" i="12"/>
  <c r="I73" i="12" s="1"/>
  <c r="T73" i="12"/>
  <c r="W73" i="12" s="1"/>
  <c r="S73" i="12"/>
  <c r="V73" i="12" s="1"/>
  <c r="R73" i="12"/>
  <c r="U73" i="12" s="1"/>
  <c r="J72" i="12"/>
  <c r="K72" i="12" s="1"/>
  <c r="H72" i="12"/>
  <c r="I72" i="12" s="1"/>
  <c r="G72" i="12" s="1"/>
  <c r="T72" i="12"/>
  <c r="W72" i="12" s="1"/>
  <c r="S72" i="12"/>
  <c r="V72" i="12" s="1"/>
  <c r="R72" i="12"/>
  <c r="U72" i="12" s="1"/>
  <c r="J71" i="12"/>
  <c r="K71" i="12" s="1"/>
  <c r="H71" i="12"/>
  <c r="I71" i="12" s="1"/>
  <c r="T71" i="12"/>
  <c r="W71" i="12" s="1"/>
  <c r="S71" i="12"/>
  <c r="V71" i="12" s="1"/>
  <c r="R71" i="12"/>
  <c r="U71" i="12" s="1"/>
  <c r="J70" i="12"/>
  <c r="K70" i="12" s="1"/>
  <c r="H70" i="12"/>
  <c r="I70" i="12" s="1"/>
  <c r="T70" i="12"/>
  <c r="W70" i="12" s="1"/>
  <c r="S70" i="12"/>
  <c r="V70" i="12" s="1"/>
  <c r="R70" i="12"/>
  <c r="U70" i="12" s="1"/>
  <c r="J69" i="12"/>
  <c r="K69" i="12" s="1"/>
  <c r="H69" i="12"/>
  <c r="I69" i="12" s="1"/>
  <c r="T69" i="12"/>
  <c r="W69" i="12" s="1"/>
  <c r="S69" i="12"/>
  <c r="V69" i="12" s="1"/>
  <c r="R69" i="12"/>
  <c r="U69" i="12" s="1"/>
  <c r="J68" i="12"/>
  <c r="K68" i="12" s="1"/>
  <c r="H68" i="12"/>
  <c r="I68" i="12" s="1"/>
  <c r="G68" i="12" s="1"/>
  <c r="T68" i="12"/>
  <c r="W68" i="12" s="1"/>
  <c r="S68" i="12"/>
  <c r="V68" i="12" s="1"/>
  <c r="R68" i="12"/>
  <c r="U68" i="12" s="1"/>
  <c r="J67" i="12"/>
  <c r="K67" i="12" s="1"/>
  <c r="H67" i="12"/>
  <c r="I67" i="12" s="1"/>
  <c r="T67" i="12"/>
  <c r="W67" i="12" s="1"/>
  <c r="S67" i="12"/>
  <c r="V67" i="12" s="1"/>
  <c r="R67" i="12"/>
  <c r="U67" i="12" s="1"/>
  <c r="J66" i="12"/>
  <c r="K66" i="12" s="1"/>
  <c r="H66" i="12"/>
  <c r="I66" i="12" s="1"/>
  <c r="T66" i="12"/>
  <c r="W66" i="12" s="1"/>
  <c r="S66" i="12"/>
  <c r="V66" i="12" s="1"/>
  <c r="R66" i="12"/>
  <c r="U66" i="12" s="1"/>
  <c r="J65" i="12"/>
  <c r="K65" i="12" s="1"/>
  <c r="H65" i="12"/>
  <c r="I65" i="12" s="1"/>
  <c r="T65" i="12"/>
  <c r="W65" i="12" s="1"/>
  <c r="S65" i="12"/>
  <c r="V65" i="12" s="1"/>
  <c r="R65" i="12"/>
  <c r="U65" i="12" s="1"/>
  <c r="J64" i="12"/>
  <c r="K64" i="12" s="1"/>
  <c r="H64" i="12"/>
  <c r="I64" i="12" s="1"/>
  <c r="G64" i="12" s="1"/>
  <c r="T64" i="12"/>
  <c r="W64" i="12" s="1"/>
  <c r="S64" i="12"/>
  <c r="V64" i="12" s="1"/>
  <c r="R64" i="12"/>
  <c r="U64" i="12" s="1"/>
  <c r="J63" i="12"/>
  <c r="K63" i="12" s="1"/>
  <c r="H63" i="12"/>
  <c r="I63" i="12" s="1"/>
  <c r="T63" i="12"/>
  <c r="W63" i="12" s="1"/>
  <c r="S63" i="12"/>
  <c r="V63" i="12" s="1"/>
  <c r="R63" i="12"/>
  <c r="U63" i="12" s="1"/>
  <c r="J62" i="12"/>
  <c r="K62" i="12" s="1"/>
  <c r="H62" i="12"/>
  <c r="I62" i="12" s="1"/>
  <c r="T62" i="12"/>
  <c r="W62" i="12" s="1"/>
  <c r="S62" i="12"/>
  <c r="V62" i="12" s="1"/>
  <c r="R62" i="12"/>
  <c r="U62" i="12" s="1"/>
  <c r="J61" i="12"/>
  <c r="K61" i="12" s="1"/>
  <c r="H61" i="12"/>
  <c r="I61" i="12" s="1"/>
  <c r="T61" i="12"/>
  <c r="W61" i="12" s="1"/>
  <c r="S61" i="12"/>
  <c r="V61" i="12" s="1"/>
  <c r="R61" i="12"/>
  <c r="U61" i="12" s="1"/>
  <c r="J60" i="12"/>
  <c r="K60" i="12" s="1"/>
  <c r="H60" i="12"/>
  <c r="I60" i="12" s="1"/>
  <c r="G60" i="12" s="1"/>
  <c r="T60" i="12"/>
  <c r="W60" i="12" s="1"/>
  <c r="S60" i="12"/>
  <c r="V60" i="12" s="1"/>
  <c r="R60" i="12"/>
  <c r="U60" i="12" s="1"/>
  <c r="J59" i="12"/>
  <c r="K59" i="12" s="1"/>
  <c r="H59" i="12"/>
  <c r="I59" i="12" s="1"/>
  <c r="T59" i="12"/>
  <c r="W59" i="12" s="1"/>
  <c r="S59" i="12"/>
  <c r="V59" i="12" s="1"/>
  <c r="R59" i="12"/>
  <c r="U59" i="12" s="1"/>
  <c r="J58" i="12"/>
  <c r="K58" i="12" s="1"/>
  <c r="H58" i="12"/>
  <c r="I58" i="12" s="1"/>
  <c r="T58" i="12"/>
  <c r="W58" i="12" s="1"/>
  <c r="S58" i="12"/>
  <c r="V58" i="12" s="1"/>
  <c r="R58" i="12"/>
  <c r="U58" i="12" s="1"/>
  <c r="J57" i="12"/>
  <c r="K57" i="12" s="1"/>
  <c r="H57" i="12"/>
  <c r="I57" i="12" s="1"/>
  <c r="T57" i="12"/>
  <c r="W57" i="12" s="1"/>
  <c r="S57" i="12"/>
  <c r="V57" i="12" s="1"/>
  <c r="R57" i="12"/>
  <c r="U57" i="12" s="1"/>
  <c r="J56" i="12"/>
  <c r="K56" i="12" s="1"/>
  <c r="H56" i="12"/>
  <c r="I56" i="12" s="1"/>
  <c r="G56" i="12" s="1"/>
  <c r="T56" i="12"/>
  <c r="W56" i="12" s="1"/>
  <c r="S56" i="12"/>
  <c r="V56" i="12" s="1"/>
  <c r="R56" i="12"/>
  <c r="U56" i="12" s="1"/>
  <c r="J55" i="12"/>
  <c r="K55" i="12" s="1"/>
  <c r="H55" i="12"/>
  <c r="I55" i="12" s="1"/>
  <c r="T55" i="12"/>
  <c r="W55" i="12" s="1"/>
  <c r="S55" i="12"/>
  <c r="V55" i="12" s="1"/>
  <c r="R55" i="12"/>
  <c r="U55" i="12" s="1"/>
  <c r="J54" i="12"/>
  <c r="K54" i="12" s="1"/>
  <c r="H54" i="12"/>
  <c r="I54" i="12" s="1"/>
  <c r="T54" i="12"/>
  <c r="W54" i="12" s="1"/>
  <c r="S54" i="12"/>
  <c r="V54" i="12" s="1"/>
  <c r="R54" i="12"/>
  <c r="U54" i="12" s="1"/>
  <c r="J53" i="12"/>
  <c r="K53" i="12" s="1"/>
  <c r="H53" i="12"/>
  <c r="I53" i="12" s="1"/>
  <c r="T53" i="12"/>
  <c r="W53" i="12" s="1"/>
  <c r="S53" i="12"/>
  <c r="V53" i="12" s="1"/>
  <c r="R53" i="12"/>
  <c r="U53" i="12" s="1"/>
  <c r="J52" i="12"/>
  <c r="K52" i="12" s="1"/>
  <c r="H52" i="12"/>
  <c r="I52" i="12" s="1"/>
  <c r="G52" i="12" s="1"/>
  <c r="T52" i="12"/>
  <c r="W52" i="12" s="1"/>
  <c r="S52" i="12"/>
  <c r="V52" i="12" s="1"/>
  <c r="R52" i="12"/>
  <c r="U52" i="12" s="1"/>
  <c r="J51" i="12"/>
  <c r="K51" i="12" s="1"/>
  <c r="H51" i="12"/>
  <c r="I51" i="12" s="1"/>
  <c r="T51" i="12"/>
  <c r="W51" i="12" s="1"/>
  <c r="S51" i="12"/>
  <c r="V51" i="12" s="1"/>
  <c r="R51" i="12"/>
  <c r="U51" i="12" s="1"/>
  <c r="J50" i="12"/>
  <c r="K50" i="12" s="1"/>
  <c r="H50" i="12"/>
  <c r="I50" i="12" s="1"/>
  <c r="T50" i="12"/>
  <c r="W50" i="12" s="1"/>
  <c r="S50" i="12"/>
  <c r="V50" i="12" s="1"/>
  <c r="R50" i="12"/>
  <c r="U50" i="12" s="1"/>
  <c r="J49" i="12"/>
  <c r="K49" i="12" s="1"/>
  <c r="H49" i="12"/>
  <c r="I49" i="12" s="1"/>
  <c r="T49" i="12"/>
  <c r="W49" i="12" s="1"/>
  <c r="S49" i="12"/>
  <c r="V49" i="12" s="1"/>
  <c r="R49" i="12"/>
  <c r="U49" i="12" s="1"/>
  <c r="J48" i="12"/>
  <c r="K48" i="12" s="1"/>
  <c r="H48" i="12"/>
  <c r="I48" i="12" s="1"/>
  <c r="T48" i="12"/>
  <c r="W48" i="12" s="1"/>
  <c r="S48" i="12"/>
  <c r="V48" i="12" s="1"/>
  <c r="R48" i="12"/>
  <c r="U48" i="12" s="1"/>
  <c r="J47" i="12"/>
  <c r="K47" i="12" s="1"/>
  <c r="H47" i="12"/>
  <c r="I47" i="12" s="1"/>
  <c r="T47" i="12"/>
  <c r="W47" i="12" s="1"/>
  <c r="S47" i="12"/>
  <c r="V47" i="12" s="1"/>
  <c r="R47" i="12"/>
  <c r="U47" i="12" s="1"/>
  <c r="J46" i="12"/>
  <c r="K46" i="12" s="1"/>
  <c r="H46" i="12"/>
  <c r="I46" i="12" s="1"/>
  <c r="T46" i="12"/>
  <c r="W46" i="12" s="1"/>
  <c r="S46" i="12"/>
  <c r="V46" i="12" s="1"/>
  <c r="R46" i="12"/>
  <c r="U46" i="12" s="1"/>
  <c r="J45" i="12"/>
  <c r="K45" i="12" s="1"/>
  <c r="H45" i="12"/>
  <c r="I45" i="12" s="1"/>
  <c r="T45" i="12"/>
  <c r="W45" i="12" s="1"/>
  <c r="S45" i="12"/>
  <c r="V45" i="12" s="1"/>
  <c r="R45" i="12"/>
  <c r="U45" i="12" s="1"/>
  <c r="J44" i="12"/>
  <c r="K44" i="12" s="1"/>
  <c r="H44" i="12"/>
  <c r="I44" i="12" s="1"/>
  <c r="T44" i="12"/>
  <c r="W44" i="12" s="1"/>
  <c r="S44" i="12"/>
  <c r="V44" i="12" s="1"/>
  <c r="R44" i="12"/>
  <c r="U44" i="12" s="1"/>
  <c r="J43" i="12"/>
  <c r="K43" i="12" s="1"/>
  <c r="H43" i="12"/>
  <c r="I43" i="12" s="1"/>
  <c r="T43" i="12"/>
  <c r="W43" i="12" s="1"/>
  <c r="S43" i="12"/>
  <c r="V43" i="12" s="1"/>
  <c r="R43" i="12"/>
  <c r="U43" i="12" s="1"/>
  <c r="J42" i="12"/>
  <c r="K42" i="12" s="1"/>
  <c r="H42" i="12"/>
  <c r="I42" i="12" s="1"/>
  <c r="T42" i="12"/>
  <c r="W42" i="12" s="1"/>
  <c r="S42" i="12"/>
  <c r="V42" i="12" s="1"/>
  <c r="R42" i="12"/>
  <c r="U42" i="12" s="1"/>
  <c r="J41" i="12"/>
  <c r="K41" i="12" s="1"/>
  <c r="H41" i="12"/>
  <c r="I41" i="12" s="1"/>
  <c r="T41" i="12"/>
  <c r="W41" i="12" s="1"/>
  <c r="S41" i="12"/>
  <c r="V41" i="12" s="1"/>
  <c r="R41" i="12"/>
  <c r="U41" i="12" s="1"/>
  <c r="J40" i="12"/>
  <c r="K40" i="12" s="1"/>
  <c r="H40" i="12"/>
  <c r="I40" i="12" s="1"/>
  <c r="T40" i="12"/>
  <c r="W40" i="12" s="1"/>
  <c r="S40" i="12"/>
  <c r="V40" i="12" s="1"/>
  <c r="R40" i="12"/>
  <c r="U40" i="12" s="1"/>
  <c r="J39" i="12"/>
  <c r="K39" i="12" s="1"/>
  <c r="H39" i="12"/>
  <c r="I39" i="12" s="1"/>
  <c r="T39" i="12"/>
  <c r="W39" i="12" s="1"/>
  <c r="S39" i="12"/>
  <c r="V39" i="12" s="1"/>
  <c r="R39" i="12"/>
  <c r="U39" i="12" s="1"/>
  <c r="J38" i="12"/>
  <c r="K38" i="12" s="1"/>
  <c r="H38" i="12"/>
  <c r="I38" i="12" s="1"/>
  <c r="T38" i="12"/>
  <c r="W38" i="12" s="1"/>
  <c r="S38" i="12"/>
  <c r="V38" i="12" s="1"/>
  <c r="R38" i="12"/>
  <c r="U38" i="12" s="1"/>
  <c r="J37" i="12"/>
  <c r="K37" i="12" s="1"/>
  <c r="H37" i="12"/>
  <c r="I37" i="12" s="1"/>
  <c r="T37" i="12"/>
  <c r="W37" i="12" s="1"/>
  <c r="S37" i="12"/>
  <c r="V37" i="12" s="1"/>
  <c r="R37" i="12"/>
  <c r="U37" i="12" s="1"/>
  <c r="J36" i="12"/>
  <c r="K36" i="12" s="1"/>
  <c r="H36" i="12"/>
  <c r="I36" i="12" s="1"/>
  <c r="T36" i="12"/>
  <c r="W36" i="12" s="1"/>
  <c r="S36" i="12"/>
  <c r="V36" i="12" s="1"/>
  <c r="R36" i="12"/>
  <c r="U36" i="12" s="1"/>
  <c r="J35" i="12"/>
  <c r="K35" i="12" s="1"/>
  <c r="H35" i="12"/>
  <c r="I35" i="12" s="1"/>
  <c r="T35" i="12"/>
  <c r="W35" i="12" s="1"/>
  <c r="S35" i="12"/>
  <c r="V35" i="12" s="1"/>
  <c r="R35" i="12"/>
  <c r="U35" i="12" s="1"/>
  <c r="J34" i="12"/>
  <c r="K34" i="12" s="1"/>
  <c r="H34" i="12"/>
  <c r="I34" i="12" s="1"/>
  <c r="T34" i="12"/>
  <c r="W34" i="12" s="1"/>
  <c r="S34" i="12"/>
  <c r="V34" i="12" s="1"/>
  <c r="R34" i="12"/>
  <c r="U34" i="12" s="1"/>
  <c r="J33" i="12"/>
  <c r="K33" i="12" s="1"/>
  <c r="H33" i="12"/>
  <c r="I33" i="12" s="1"/>
  <c r="T33" i="12"/>
  <c r="W33" i="12" s="1"/>
  <c r="S33" i="12"/>
  <c r="V33" i="12" s="1"/>
  <c r="R33" i="12"/>
  <c r="U33" i="12" s="1"/>
  <c r="J32" i="12"/>
  <c r="K32" i="12" s="1"/>
  <c r="H32" i="12"/>
  <c r="I32" i="12" s="1"/>
  <c r="T32" i="12"/>
  <c r="W32" i="12" s="1"/>
  <c r="S32" i="12"/>
  <c r="V32" i="12" s="1"/>
  <c r="R32" i="12"/>
  <c r="U32" i="12" s="1"/>
  <c r="J31" i="12"/>
  <c r="K31" i="12" s="1"/>
  <c r="H31" i="12"/>
  <c r="I31" i="12" s="1"/>
  <c r="T31" i="12"/>
  <c r="W31" i="12" s="1"/>
  <c r="S31" i="12"/>
  <c r="V31" i="12" s="1"/>
  <c r="R31" i="12"/>
  <c r="U31" i="12" s="1"/>
  <c r="J30" i="12"/>
  <c r="K30" i="12" s="1"/>
  <c r="H30" i="12"/>
  <c r="I30" i="12" s="1"/>
  <c r="T30" i="12"/>
  <c r="W30" i="12" s="1"/>
  <c r="S30" i="12"/>
  <c r="V30" i="12" s="1"/>
  <c r="R30" i="12"/>
  <c r="U30" i="12" s="1"/>
  <c r="J29" i="12"/>
  <c r="K29" i="12" s="1"/>
  <c r="H29" i="12"/>
  <c r="I29" i="12" s="1"/>
  <c r="T29" i="12"/>
  <c r="W29" i="12" s="1"/>
  <c r="S29" i="12"/>
  <c r="V29" i="12" s="1"/>
  <c r="R29" i="12"/>
  <c r="U29" i="12" s="1"/>
  <c r="J28" i="12"/>
  <c r="K28" i="12" s="1"/>
  <c r="H28" i="12"/>
  <c r="I28" i="12" s="1"/>
  <c r="T28" i="12"/>
  <c r="W28" i="12" s="1"/>
  <c r="S28" i="12"/>
  <c r="V28" i="12" s="1"/>
  <c r="R28" i="12"/>
  <c r="U28" i="12" s="1"/>
  <c r="J27" i="12"/>
  <c r="K27" i="12" s="1"/>
  <c r="H27" i="12"/>
  <c r="I27" i="12" s="1"/>
  <c r="T27" i="12"/>
  <c r="W27" i="12" s="1"/>
  <c r="S27" i="12"/>
  <c r="V27" i="12" s="1"/>
  <c r="R27" i="12"/>
  <c r="U27" i="12" s="1"/>
  <c r="J26" i="12"/>
  <c r="K26" i="12" s="1"/>
  <c r="H26" i="12"/>
  <c r="I26" i="12" s="1"/>
  <c r="T26" i="12"/>
  <c r="W26" i="12" s="1"/>
  <c r="S26" i="12"/>
  <c r="V26" i="12" s="1"/>
  <c r="R26" i="12"/>
  <c r="U26" i="12" s="1"/>
  <c r="J25" i="12"/>
  <c r="K25" i="12" s="1"/>
  <c r="H25" i="12"/>
  <c r="I25" i="12" s="1"/>
  <c r="T25" i="12"/>
  <c r="W25" i="12" s="1"/>
  <c r="S25" i="12"/>
  <c r="V25" i="12" s="1"/>
  <c r="R25" i="12"/>
  <c r="U25" i="12" s="1"/>
  <c r="J24" i="12"/>
  <c r="K24" i="12" s="1"/>
  <c r="H24" i="12"/>
  <c r="I24" i="12" s="1"/>
  <c r="T24" i="12"/>
  <c r="W24" i="12" s="1"/>
  <c r="S24" i="12"/>
  <c r="V24" i="12" s="1"/>
  <c r="R24" i="12"/>
  <c r="U24" i="12" s="1"/>
  <c r="J23" i="12"/>
  <c r="K23" i="12" s="1"/>
  <c r="H23" i="12"/>
  <c r="I23" i="12" s="1"/>
  <c r="T23" i="12"/>
  <c r="W23" i="12" s="1"/>
  <c r="S23" i="12"/>
  <c r="V23" i="12" s="1"/>
  <c r="R23" i="12"/>
  <c r="U23" i="12" s="1"/>
  <c r="J22" i="12"/>
  <c r="K22" i="12" s="1"/>
  <c r="H22" i="12"/>
  <c r="I22" i="12" s="1"/>
  <c r="T22" i="12"/>
  <c r="W22" i="12" s="1"/>
  <c r="S22" i="12"/>
  <c r="V22" i="12" s="1"/>
  <c r="R22" i="12"/>
  <c r="U22" i="12" s="1"/>
  <c r="J21" i="12"/>
  <c r="K21" i="12" s="1"/>
  <c r="H21" i="12"/>
  <c r="I21" i="12" s="1"/>
  <c r="T21" i="12"/>
  <c r="W21" i="12" s="1"/>
  <c r="S21" i="12"/>
  <c r="V21" i="12" s="1"/>
  <c r="R21" i="12"/>
  <c r="U21" i="12" s="1"/>
  <c r="J20" i="12"/>
  <c r="K20" i="12" s="1"/>
  <c r="H20" i="12"/>
  <c r="I20" i="12" s="1"/>
  <c r="T20" i="12"/>
  <c r="W20" i="12" s="1"/>
  <c r="S20" i="12"/>
  <c r="V20" i="12" s="1"/>
  <c r="R20" i="12"/>
  <c r="U20" i="12" s="1"/>
  <c r="J19" i="12"/>
  <c r="K19" i="12" s="1"/>
  <c r="H19" i="12"/>
  <c r="I19" i="12" s="1"/>
  <c r="T19" i="12"/>
  <c r="W19" i="12" s="1"/>
  <c r="S19" i="12"/>
  <c r="V19" i="12" s="1"/>
  <c r="R19" i="12"/>
  <c r="U19" i="12" s="1"/>
  <c r="J18" i="12"/>
  <c r="K18" i="12" s="1"/>
  <c r="H18" i="12"/>
  <c r="I18" i="12" s="1"/>
  <c r="T18" i="12"/>
  <c r="W18" i="12" s="1"/>
  <c r="S18" i="12"/>
  <c r="V18" i="12" s="1"/>
  <c r="R18" i="12"/>
  <c r="U18" i="12" s="1"/>
  <c r="J17" i="12"/>
  <c r="K17" i="12" s="1"/>
  <c r="H17" i="12"/>
  <c r="I17" i="12" s="1"/>
  <c r="T17" i="12"/>
  <c r="W17" i="12" s="1"/>
  <c r="S17" i="12"/>
  <c r="V17" i="12" s="1"/>
  <c r="R17" i="12"/>
  <c r="U17" i="12" s="1"/>
  <c r="J16" i="12"/>
  <c r="K16" i="12" s="1"/>
  <c r="H16" i="12"/>
  <c r="I16" i="12" s="1"/>
  <c r="T16" i="12"/>
  <c r="W16" i="12" s="1"/>
  <c r="S16" i="12"/>
  <c r="V16" i="12" s="1"/>
  <c r="R16" i="12"/>
  <c r="U16" i="12" s="1"/>
  <c r="J15" i="12"/>
  <c r="K15" i="12" s="1"/>
  <c r="H15" i="12"/>
  <c r="I15" i="12" s="1"/>
  <c r="T15" i="12"/>
  <c r="W15" i="12" s="1"/>
  <c r="S15" i="12"/>
  <c r="V15" i="12" s="1"/>
  <c r="R15" i="12"/>
  <c r="U15" i="12" s="1"/>
  <c r="J14" i="12"/>
  <c r="K14" i="12" s="1"/>
  <c r="H14" i="12"/>
  <c r="I14" i="12" s="1"/>
  <c r="T14" i="12"/>
  <c r="W14" i="12" s="1"/>
  <c r="S14" i="12"/>
  <c r="V14" i="12" s="1"/>
  <c r="R14" i="12"/>
  <c r="U14" i="12" s="1"/>
  <c r="J13" i="12"/>
  <c r="K13" i="12" s="1"/>
  <c r="H13" i="12"/>
  <c r="I13" i="12" s="1"/>
  <c r="T13" i="12"/>
  <c r="W13" i="12" s="1"/>
  <c r="S13" i="12"/>
  <c r="V13" i="12" s="1"/>
  <c r="R13" i="12"/>
  <c r="U13" i="12" s="1"/>
  <c r="J12" i="12"/>
  <c r="K12" i="12" s="1"/>
  <c r="H12" i="12"/>
  <c r="I12" i="12" s="1"/>
  <c r="T12" i="12"/>
  <c r="W12" i="12" s="1"/>
  <c r="S12" i="12"/>
  <c r="V12" i="12" s="1"/>
  <c r="R12" i="12"/>
  <c r="U12" i="12" s="1"/>
  <c r="J11" i="12"/>
  <c r="K11" i="12" s="1"/>
  <c r="H11" i="12"/>
  <c r="I11" i="12" s="1"/>
  <c r="T11" i="12"/>
  <c r="W11" i="12" s="1"/>
  <c r="S11" i="12"/>
  <c r="V11" i="12" s="1"/>
  <c r="R11" i="12"/>
  <c r="U11" i="12" s="1"/>
  <c r="J10" i="12"/>
  <c r="K10" i="12" s="1"/>
  <c r="H10" i="12"/>
  <c r="I10" i="12" s="1"/>
  <c r="T10" i="12"/>
  <c r="W10" i="12" s="1"/>
  <c r="S10" i="12"/>
  <c r="V10" i="12" s="1"/>
  <c r="R10" i="12"/>
  <c r="U10" i="12" s="1"/>
  <c r="J9" i="12"/>
  <c r="K9" i="12" s="1"/>
  <c r="H9" i="12"/>
  <c r="I9" i="12" s="1"/>
  <c r="T9" i="12"/>
  <c r="W9" i="12" s="1"/>
  <c r="S9" i="12"/>
  <c r="V9" i="12" s="1"/>
  <c r="R9" i="12"/>
  <c r="U9" i="12" s="1"/>
  <c r="J8" i="12"/>
  <c r="K8" i="12" s="1"/>
  <c r="H8" i="12"/>
  <c r="I8" i="12" s="1"/>
  <c r="T8" i="12"/>
  <c r="W8" i="12" s="1"/>
  <c r="S8" i="12"/>
  <c r="V8" i="12" s="1"/>
  <c r="R8" i="12"/>
  <c r="U8" i="12" s="1"/>
  <c r="J7" i="12"/>
  <c r="K7" i="12" s="1"/>
  <c r="H7" i="12"/>
  <c r="I7" i="12" s="1"/>
  <c r="T7" i="12"/>
  <c r="W7" i="12" s="1"/>
  <c r="S7" i="12"/>
  <c r="V7" i="12" s="1"/>
  <c r="R7" i="12"/>
  <c r="U7" i="12" s="1"/>
  <c r="J6" i="12"/>
  <c r="K6" i="12" s="1"/>
  <c r="H6" i="12"/>
  <c r="I6" i="12" s="1"/>
  <c r="T6" i="12"/>
  <c r="W6" i="12" s="1"/>
  <c r="S6" i="12"/>
  <c r="V6" i="12" s="1"/>
  <c r="R6" i="12"/>
  <c r="U6" i="12" s="1"/>
  <c r="J5" i="12"/>
  <c r="K5" i="12" s="1"/>
  <c r="H5" i="12"/>
  <c r="I5" i="12" s="1"/>
  <c r="T5" i="12"/>
  <c r="W5" i="12" s="1"/>
  <c r="S5" i="12"/>
  <c r="V5" i="12" s="1"/>
  <c r="R5" i="12"/>
  <c r="U5" i="12" s="1"/>
  <c r="J4" i="12"/>
  <c r="K4" i="12" s="1"/>
  <c r="H4" i="12"/>
  <c r="I4" i="12" s="1"/>
  <c r="T4" i="12"/>
  <c r="W4" i="12" s="1"/>
  <c r="S4" i="12"/>
  <c r="V4" i="12" s="1"/>
  <c r="R4" i="12"/>
  <c r="U4" i="12" s="1"/>
  <c r="L53" i="11"/>
  <c r="E53" i="11" s="1"/>
  <c r="L102" i="11"/>
  <c r="L9" i="11"/>
  <c r="Q118" i="10"/>
  <c r="Q116" i="10"/>
  <c r="O102" i="10"/>
  <c r="O86" i="10"/>
  <c r="Q79" i="10"/>
  <c r="Q77" i="10"/>
  <c r="Q72" i="10"/>
  <c r="O61" i="10"/>
  <c r="Q45" i="10"/>
  <c r="O45" i="10"/>
  <c r="Q44" i="10"/>
  <c r="Q20" i="10"/>
  <c r="M12" i="10"/>
  <c r="Q7" i="10"/>
  <c r="R2" i="6"/>
  <c r="R3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Q2" i="6"/>
  <c r="Q3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R2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Q2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F121" i="11" l="1"/>
  <c r="F53" i="11"/>
  <c r="F113" i="11"/>
  <c r="F82" i="11"/>
  <c r="F58" i="11"/>
  <c r="F84" i="11"/>
  <c r="F102" i="11"/>
  <c r="F71" i="11"/>
  <c r="F75" i="11"/>
  <c r="F92" i="11"/>
  <c r="F29" i="11"/>
  <c r="F9" i="11"/>
  <c r="F55" i="11"/>
  <c r="F10" i="11"/>
  <c r="F25" i="11"/>
  <c r="E123" i="11"/>
  <c r="I120" i="1" s="1"/>
  <c r="E96" i="11"/>
  <c r="E118" i="11"/>
  <c r="I123" i="1" s="1"/>
  <c r="E95" i="11"/>
  <c r="E115" i="11"/>
  <c r="I121" i="1" s="1"/>
  <c r="E94" i="11"/>
  <c r="E93" i="11"/>
  <c r="E110" i="11"/>
  <c r="E70" i="11"/>
  <c r="I80" i="1" s="1"/>
  <c r="E57" i="11"/>
  <c r="E108" i="11"/>
  <c r="I104" i="1" s="1"/>
  <c r="E106" i="11"/>
  <c r="E67" i="11"/>
  <c r="I74" i="1" s="1"/>
  <c r="E50" i="11"/>
  <c r="E38" i="11"/>
  <c r="E98" i="11"/>
  <c r="E65" i="11"/>
  <c r="I57" i="1" s="1"/>
  <c r="E19" i="11"/>
  <c r="E56" i="11"/>
  <c r="I49" i="1" s="1"/>
  <c r="E30" i="11"/>
  <c r="E77" i="11"/>
  <c r="I58" i="1" s="1"/>
  <c r="E22" i="11"/>
  <c r="E40" i="11"/>
  <c r="E28" i="11"/>
  <c r="E17" i="11"/>
  <c r="I28" i="1" s="1"/>
  <c r="E62" i="11"/>
  <c r="E33" i="11"/>
  <c r="I26" i="1" s="1"/>
  <c r="E21" i="11"/>
  <c r="E8" i="11"/>
  <c r="I10" i="1" s="1"/>
  <c r="E15" i="11"/>
  <c r="E9" i="11"/>
  <c r="E102" i="11"/>
  <c r="F96" i="11"/>
  <c r="F95" i="11"/>
  <c r="F94" i="11"/>
  <c r="F110" i="11"/>
  <c r="F57" i="11"/>
  <c r="F106" i="11"/>
  <c r="F50" i="11"/>
  <c r="F98" i="11"/>
  <c r="F19" i="11"/>
  <c r="F30" i="11"/>
  <c r="F22" i="11"/>
  <c r="F28" i="11"/>
  <c r="F62" i="11"/>
  <c r="F21" i="11"/>
  <c r="F15" i="11"/>
  <c r="E121" i="11"/>
  <c r="E113" i="11"/>
  <c r="I118" i="1" s="1"/>
  <c r="E82" i="11"/>
  <c r="E58" i="11"/>
  <c r="I91" i="1" s="1"/>
  <c r="E84" i="11"/>
  <c r="E71" i="11"/>
  <c r="I68" i="1" s="1"/>
  <c r="E75" i="11"/>
  <c r="E92" i="11"/>
  <c r="I71" i="1" s="1"/>
  <c r="E29" i="11"/>
  <c r="E55" i="11"/>
  <c r="I38" i="1" s="1"/>
  <c r="E10" i="11"/>
  <c r="E25" i="11"/>
  <c r="F122" i="11"/>
  <c r="F80" i="11"/>
  <c r="F114" i="11"/>
  <c r="F86" i="11"/>
  <c r="F91" i="11"/>
  <c r="F107" i="11"/>
  <c r="F103" i="11"/>
  <c r="F90" i="11"/>
  <c r="F79" i="11"/>
  <c r="F83" i="11"/>
  <c r="F39" i="11"/>
  <c r="F47" i="11"/>
  <c r="F69" i="11"/>
  <c r="F27" i="11"/>
  <c r="F5" i="11"/>
  <c r="E124" i="11"/>
  <c r="E76" i="11"/>
  <c r="E48" i="11"/>
  <c r="I102" i="1" s="1"/>
  <c r="E100" i="11"/>
  <c r="E68" i="11"/>
  <c r="I107" i="1" s="1"/>
  <c r="E42" i="11"/>
  <c r="E104" i="11"/>
  <c r="I94" i="1" s="1"/>
  <c r="E60" i="11"/>
  <c r="I59" i="1" s="1"/>
  <c r="E49" i="11"/>
  <c r="E52" i="11"/>
  <c r="E35" i="11"/>
  <c r="I52" i="1" s="1"/>
  <c r="E16" i="11"/>
  <c r="E13" i="11"/>
  <c r="I30" i="1" s="1"/>
  <c r="E24" i="11"/>
  <c r="E20" i="11"/>
  <c r="E4" i="11"/>
  <c r="I4" i="1" s="1"/>
  <c r="E119" i="11"/>
  <c r="I105" i="1" s="1"/>
  <c r="E116" i="11"/>
  <c r="E111" i="11"/>
  <c r="E88" i="11"/>
  <c r="E109" i="11"/>
  <c r="E32" i="11"/>
  <c r="E101" i="11"/>
  <c r="I83" i="1" s="1"/>
  <c r="E44" i="11"/>
  <c r="I48" i="1" s="1"/>
  <c r="E89" i="11"/>
  <c r="E81" i="11"/>
  <c r="E64" i="11"/>
  <c r="I42" i="1" s="1"/>
  <c r="E51" i="11"/>
  <c r="E11" i="11"/>
  <c r="I12" i="1" s="1"/>
  <c r="E14" i="11"/>
  <c r="E31" i="11"/>
  <c r="I9" i="1" s="1"/>
  <c r="F11" i="12"/>
  <c r="G10" i="1" s="1"/>
  <c r="F19" i="12"/>
  <c r="G26" i="1" s="1"/>
  <c r="F27" i="12"/>
  <c r="G28" i="1" s="1"/>
  <c r="F35" i="12"/>
  <c r="G35" i="1" s="1"/>
  <c r="F43" i="12"/>
  <c r="G58" i="1" s="1"/>
  <c r="F51" i="12"/>
  <c r="G49" i="1" s="1"/>
  <c r="F59" i="12"/>
  <c r="G57" i="1" s="1"/>
  <c r="F67" i="12"/>
  <c r="G53" i="1" s="1"/>
  <c r="F75" i="12"/>
  <c r="G74" i="1" s="1"/>
  <c r="F83" i="12"/>
  <c r="G104" i="1" s="1"/>
  <c r="F91" i="12"/>
  <c r="G80" i="1" s="1"/>
  <c r="F99" i="12"/>
  <c r="G97" i="1" s="1"/>
  <c r="F107" i="12"/>
  <c r="G121" i="1" s="1"/>
  <c r="F115" i="12"/>
  <c r="G123" i="1" s="1"/>
  <c r="F123" i="12"/>
  <c r="G120" i="1" s="1"/>
  <c r="F8" i="12"/>
  <c r="G5" i="1" s="1"/>
  <c r="F16" i="12"/>
  <c r="G18" i="1" s="1"/>
  <c r="F24" i="12"/>
  <c r="G33" i="1" s="1"/>
  <c r="F32" i="12"/>
  <c r="G40" i="1" s="1"/>
  <c r="F40" i="12"/>
  <c r="G41" i="1" s="1"/>
  <c r="F48" i="12"/>
  <c r="G32" i="1" s="1"/>
  <c r="F56" i="12"/>
  <c r="G78" i="1" s="1"/>
  <c r="F64" i="12"/>
  <c r="G76" i="1" s="1"/>
  <c r="F72" i="12"/>
  <c r="G61" i="1" s="1"/>
  <c r="F80" i="12"/>
  <c r="G72" i="1" s="1"/>
  <c r="F88" i="12"/>
  <c r="G67" i="1" s="1"/>
  <c r="F96" i="12"/>
  <c r="G86" i="1" s="1"/>
  <c r="F104" i="12"/>
  <c r="G116" i="1" s="1"/>
  <c r="F112" i="12"/>
  <c r="G22" i="1" s="1"/>
  <c r="F120" i="12"/>
  <c r="G111" i="1" s="1"/>
  <c r="F13" i="12"/>
  <c r="G6" i="1" s="1"/>
  <c r="F21" i="12"/>
  <c r="G12" i="1" s="1"/>
  <c r="F29" i="12"/>
  <c r="G36" i="1" s="1"/>
  <c r="F37" i="12"/>
  <c r="G42" i="1" s="1"/>
  <c r="F45" i="12"/>
  <c r="G54" i="1" s="1"/>
  <c r="F53" i="12"/>
  <c r="G70" i="1" s="1"/>
  <c r="F61" i="12"/>
  <c r="G48" i="1" s="1"/>
  <c r="F69" i="12"/>
  <c r="G83" i="1" s="1"/>
  <c r="F77" i="12"/>
  <c r="G51" i="1" s="1"/>
  <c r="F85" i="12"/>
  <c r="G100" i="1" s="1"/>
  <c r="F93" i="12"/>
  <c r="G84" i="1" s="1"/>
  <c r="F101" i="12"/>
  <c r="G113" i="1" s="1"/>
  <c r="F109" i="12"/>
  <c r="G122" i="1" s="1"/>
  <c r="F117" i="12"/>
  <c r="G105" i="1" s="1"/>
  <c r="F18" i="12"/>
  <c r="G21" i="1" s="1"/>
  <c r="F26" i="12"/>
  <c r="G43" i="1" s="1"/>
  <c r="F34" i="12"/>
  <c r="G45" i="1" s="1"/>
  <c r="F42" i="12"/>
  <c r="G31" i="1" s="1"/>
  <c r="F50" i="12"/>
  <c r="G66" i="1" s="1"/>
  <c r="F58" i="12"/>
  <c r="G77" i="1" s="1"/>
  <c r="F66" i="12"/>
  <c r="G56" i="1" s="1"/>
  <c r="F74" i="12"/>
  <c r="G82" i="1" s="1"/>
  <c r="F82" i="12"/>
  <c r="G103" i="1" s="1"/>
  <c r="F90" i="12"/>
  <c r="G81" i="1" s="1"/>
  <c r="F98" i="12"/>
  <c r="G95" i="1" s="1"/>
  <c r="F106" i="12"/>
  <c r="G114" i="1" s="1"/>
  <c r="F114" i="12"/>
  <c r="G106" i="1" s="1"/>
  <c r="F122" i="12"/>
  <c r="G117" i="1" s="1"/>
  <c r="F7" i="12"/>
  <c r="G11" i="1" s="1"/>
  <c r="F15" i="12"/>
  <c r="G13" i="1" s="1"/>
  <c r="F23" i="12"/>
  <c r="G44" i="1" s="1"/>
  <c r="F31" i="12"/>
  <c r="G23" i="1" s="1"/>
  <c r="F39" i="12"/>
  <c r="G34" i="1" s="1"/>
  <c r="F47" i="12"/>
  <c r="G47" i="1" s="1"/>
  <c r="F55" i="12"/>
  <c r="G39" i="1" s="1"/>
  <c r="F63" i="12"/>
  <c r="G73" i="1" s="1"/>
  <c r="F71" i="12"/>
  <c r="G65" i="1" s="1"/>
  <c r="F79" i="12"/>
  <c r="G98" i="1" s="1"/>
  <c r="F87" i="12"/>
  <c r="G69" i="1" s="1"/>
  <c r="F95" i="12"/>
  <c r="G110" i="1" s="1"/>
  <c r="F103" i="12"/>
  <c r="G109" i="1" s="1"/>
  <c r="F111" i="12"/>
  <c r="G101" i="1" s="1"/>
  <c r="F119" i="12"/>
  <c r="G112" i="1" s="1"/>
  <c r="F4" i="12"/>
  <c r="G4" i="1" s="1"/>
  <c r="F12" i="12"/>
  <c r="G16" i="1" s="1"/>
  <c r="F20" i="12"/>
  <c r="G19" i="1" s="1"/>
  <c r="F28" i="12"/>
  <c r="G30" i="1" s="1"/>
  <c r="F36" i="12"/>
  <c r="G27" i="1" s="1"/>
  <c r="F44" i="12"/>
  <c r="G52" i="1" s="1"/>
  <c r="F52" i="12"/>
  <c r="G50" i="1" s="1"/>
  <c r="F60" i="12"/>
  <c r="G37" i="1" s="1"/>
  <c r="F68" i="12"/>
  <c r="G59" i="1" s="1"/>
  <c r="F76" i="12"/>
  <c r="G94" i="1" s="1"/>
  <c r="F84" i="12"/>
  <c r="G63" i="1" s="1"/>
  <c r="F92" i="12"/>
  <c r="G107" i="1" s="1"/>
  <c r="F100" i="12"/>
  <c r="G99" i="1" s="1"/>
  <c r="F108" i="12"/>
  <c r="G102" i="1" s="1"/>
  <c r="F116" i="12"/>
  <c r="G85" i="1" s="1"/>
  <c r="F124" i="12"/>
  <c r="G124" i="1" s="1"/>
  <c r="F10" i="12"/>
  <c r="G8" i="1" s="1"/>
  <c r="F9" i="12"/>
  <c r="G17" i="1" s="1"/>
  <c r="F17" i="12"/>
  <c r="G15" i="1" s="1"/>
  <c r="F25" i="12"/>
  <c r="G38" i="1" s="1"/>
  <c r="F33" i="12"/>
  <c r="G20" i="1" s="1"/>
  <c r="F41" i="12"/>
  <c r="G29" i="1" s="1"/>
  <c r="F49" i="12"/>
  <c r="G71" i="1" s="1"/>
  <c r="F57" i="12"/>
  <c r="G62" i="1" s="1"/>
  <c r="F65" i="12"/>
  <c r="G68" i="1" s="1"/>
  <c r="F73" i="12"/>
  <c r="G87" i="1" s="1"/>
  <c r="F81" i="12"/>
  <c r="G93" i="1" s="1"/>
  <c r="F89" i="12"/>
  <c r="G91" i="1" s="1"/>
  <c r="F97" i="12"/>
  <c r="G96" i="1" s="1"/>
  <c r="F105" i="12"/>
  <c r="G118" i="1" s="1"/>
  <c r="F113" i="12"/>
  <c r="G88" i="1" s="1"/>
  <c r="F121" i="12"/>
  <c r="G119" i="1" s="1"/>
  <c r="F5" i="12"/>
  <c r="G9" i="1" s="1"/>
  <c r="F6" i="12"/>
  <c r="G7" i="1" s="1"/>
  <c r="F14" i="12"/>
  <c r="G14" i="1" s="1"/>
  <c r="F22" i="12"/>
  <c r="G25" i="1" s="1"/>
  <c r="F30" i="12"/>
  <c r="G24" i="1" s="1"/>
  <c r="F38" i="12"/>
  <c r="G46" i="1" s="1"/>
  <c r="F46" i="12"/>
  <c r="G60" i="1" s="1"/>
  <c r="F54" i="12"/>
  <c r="G75" i="1" s="1"/>
  <c r="F62" i="12"/>
  <c r="G55" i="1" s="1"/>
  <c r="F70" i="12"/>
  <c r="G64" i="1" s="1"/>
  <c r="F78" i="12"/>
  <c r="G90" i="1" s="1"/>
  <c r="F86" i="12"/>
  <c r="G79" i="1" s="1"/>
  <c r="F94" i="12"/>
  <c r="G89" i="1" s="1"/>
  <c r="F102" i="12"/>
  <c r="G92" i="1" s="1"/>
  <c r="F110" i="12"/>
  <c r="G108" i="1" s="1"/>
  <c r="F118" i="12"/>
  <c r="G115" i="1" s="1"/>
  <c r="F119" i="11"/>
  <c r="F116" i="11"/>
  <c r="F111" i="11"/>
  <c r="F88" i="11"/>
  <c r="F109" i="11"/>
  <c r="F32" i="11"/>
  <c r="F101" i="11"/>
  <c r="F44" i="11"/>
  <c r="F89" i="11"/>
  <c r="F81" i="11"/>
  <c r="F64" i="11"/>
  <c r="F51" i="11"/>
  <c r="F11" i="11"/>
  <c r="F14" i="11"/>
  <c r="F31" i="11"/>
  <c r="F123" i="11"/>
  <c r="F118" i="11"/>
  <c r="F115" i="11"/>
  <c r="F93" i="11"/>
  <c r="F70" i="11"/>
  <c r="F108" i="11"/>
  <c r="F67" i="11"/>
  <c r="F38" i="11"/>
  <c r="F65" i="11"/>
  <c r="F56" i="11"/>
  <c r="F77" i="11"/>
  <c r="F40" i="11"/>
  <c r="F17" i="11"/>
  <c r="F33" i="11"/>
  <c r="F8" i="11"/>
  <c r="G8" i="12"/>
  <c r="H5" i="1" s="1"/>
  <c r="G16" i="12"/>
  <c r="H18" i="1" s="1"/>
  <c r="G24" i="12"/>
  <c r="H33" i="1" s="1"/>
  <c r="G32" i="12"/>
  <c r="H40" i="1" s="1"/>
  <c r="G40" i="12"/>
  <c r="H41" i="1" s="1"/>
  <c r="G48" i="12"/>
  <c r="H32" i="1" s="1"/>
  <c r="G120" i="12"/>
  <c r="H111" i="1" s="1"/>
  <c r="G5" i="12"/>
  <c r="H9" i="1" s="1"/>
  <c r="G13" i="12"/>
  <c r="H6" i="1" s="1"/>
  <c r="G21" i="12"/>
  <c r="H12" i="1" s="1"/>
  <c r="G29" i="12"/>
  <c r="H36" i="1" s="1"/>
  <c r="G37" i="12"/>
  <c r="H42" i="1" s="1"/>
  <c r="G45" i="12"/>
  <c r="H54" i="1" s="1"/>
  <c r="G53" i="12"/>
  <c r="H70" i="1" s="1"/>
  <c r="G61" i="12"/>
  <c r="H48" i="1" s="1"/>
  <c r="G69" i="12"/>
  <c r="H83" i="1" s="1"/>
  <c r="G77" i="12"/>
  <c r="H51" i="1" s="1"/>
  <c r="G85" i="12"/>
  <c r="H100" i="1" s="1"/>
  <c r="G93" i="12"/>
  <c r="H84" i="1" s="1"/>
  <c r="G101" i="12"/>
  <c r="H113" i="1" s="1"/>
  <c r="G109" i="12"/>
  <c r="H122" i="1" s="1"/>
  <c r="G117" i="12"/>
  <c r="H105" i="1" s="1"/>
  <c r="G18" i="12"/>
  <c r="H21" i="1" s="1"/>
  <c r="G26" i="12"/>
  <c r="H43" i="1" s="1"/>
  <c r="G34" i="12"/>
  <c r="H45" i="1" s="1"/>
  <c r="G42" i="12"/>
  <c r="H31" i="1" s="1"/>
  <c r="G50" i="12"/>
  <c r="H66" i="1" s="1"/>
  <c r="G58" i="12"/>
  <c r="H77" i="1" s="1"/>
  <c r="G66" i="12"/>
  <c r="H56" i="1" s="1"/>
  <c r="G74" i="12"/>
  <c r="H82" i="1" s="1"/>
  <c r="G82" i="12"/>
  <c r="H103" i="1" s="1"/>
  <c r="G90" i="12"/>
  <c r="H81" i="1" s="1"/>
  <c r="G98" i="12"/>
  <c r="H95" i="1" s="1"/>
  <c r="G106" i="12"/>
  <c r="H114" i="1" s="1"/>
  <c r="G114" i="12"/>
  <c r="H106" i="1" s="1"/>
  <c r="G122" i="12"/>
  <c r="H117" i="1" s="1"/>
  <c r="G15" i="12"/>
  <c r="H13" i="1" s="1"/>
  <c r="G23" i="12"/>
  <c r="H44" i="1" s="1"/>
  <c r="G31" i="12"/>
  <c r="H23" i="1" s="1"/>
  <c r="G39" i="12"/>
  <c r="H34" i="1" s="1"/>
  <c r="G47" i="12"/>
  <c r="H47" i="1" s="1"/>
  <c r="G55" i="12"/>
  <c r="H39" i="1" s="1"/>
  <c r="G63" i="12"/>
  <c r="H73" i="1" s="1"/>
  <c r="G71" i="12"/>
  <c r="H65" i="1" s="1"/>
  <c r="G79" i="12"/>
  <c r="H98" i="1" s="1"/>
  <c r="G87" i="12"/>
  <c r="H69" i="1" s="1"/>
  <c r="G95" i="12"/>
  <c r="H110" i="1" s="1"/>
  <c r="G103" i="12"/>
  <c r="H109" i="1" s="1"/>
  <c r="G111" i="12"/>
  <c r="H101" i="1" s="1"/>
  <c r="G119" i="12"/>
  <c r="H112" i="1" s="1"/>
  <c r="G4" i="12"/>
  <c r="H4" i="1" s="1"/>
  <c r="G12" i="12"/>
  <c r="H16" i="1" s="1"/>
  <c r="G20" i="12"/>
  <c r="H19" i="1" s="1"/>
  <c r="G28" i="12"/>
  <c r="H30" i="1" s="1"/>
  <c r="G36" i="12"/>
  <c r="H27" i="1" s="1"/>
  <c r="G44" i="12"/>
  <c r="H52" i="1" s="1"/>
  <c r="G124" i="12"/>
  <c r="H124" i="1" s="1"/>
  <c r="G10" i="12"/>
  <c r="H8" i="1" s="1"/>
  <c r="G7" i="12"/>
  <c r="H11" i="1" s="1"/>
  <c r="G9" i="12"/>
  <c r="H17" i="1" s="1"/>
  <c r="G17" i="12"/>
  <c r="H15" i="1" s="1"/>
  <c r="G25" i="12"/>
  <c r="H38" i="1" s="1"/>
  <c r="G33" i="12"/>
  <c r="H20" i="1" s="1"/>
  <c r="G41" i="12"/>
  <c r="H29" i="1" s="1"/>
  <c r="G49" i="12"/>
  <c r="H71" i="1" s="1"/>
  <c r="G57" i="12"/>
  <c r="H62" i="1" s="1"/>
  <c r="G65" i="12"/>
  <c r="H68" i="1" s="1"/>
  <c r="G73" i="12"/>
  <c r="H87" i="1" s="1"/>
  <c r="G81" i="12"/>
  <c r="H93" i="1" s="1"/>
  <c r="G89" i="12"/>
  <c r="H91" i="1" s="1"/>
  <c r="G97" i="12"/>
  <c r="H96" i="1" s="1"/>
  <c r="G105" i="12"/>
  <c r="H118" i="1" s="1"/>
  <c r="G113" i="12"/>
  <c r="H88" i="1" s="1"/>
  <c r="G121" i="12"/>
  <c r="H119" i="1" s="1"/>
  <c r="G6" i="12"/>
  <c r="H7" i="1" s="1"/>
  <c r="G14" i="12"/>
  <c r="H14" i="1" s="1"/>
  <c r="G22" i="12"/>
  <c r="H25" i="1" s="1"/>
  <c r="G30" i="12"/>
  <c r="H24" i="1" s="1"/>
  <c r="G38" i="12"/>
  <c r="H46" i="1" s="1"/>
  <c r="G46" i="12"/>
  <c r="H60" i="1" s="1"/>
  <c r="G54" i="12"/>
  <c r="H75" i="1" s="1"/>
  <c r="G62" i="12"/>
  <c r="H55" i="1" s="1"/>
  <c r="G70" i="12"/>
  <c r="H64" i="1" s="1"/>
  <c r="G78" i="12"/>
  <c r="H90" i="1" s="1"/>
  <c r="G86" i="12"/>
  <c r="H79" i="1" s="1"/>
  <c r="G94" i="12"/>
  <c r="H89" i="1" s="1"/>
  <c r="G102" i="12"/>
  <c r="H92" i="1" s="1"/>
  <c r="G110" i="12"/>
  <c r="H108" i="1" s="1"/>
  <c r="G118" i="12"/>
  <c r="H115" i="1" s="1"/>
  <c r="G11" i="12"/>
  <c r="H10" i="1" s="1"/>
  <c r="G19" i="12"/>
  <c r="H26" i="1" s="1"/>
  <c r="G27" i="12"/>
  <c r="H28" i="1" s="1"/>
  <c r="G35" i="12"/>
  <c r="H35" i="1" s="1"/>
  <c r="G43" i="12"/>
  <c r="H58" i="1" s="1"/>
  <c r="G51" i="12"/>
  <c r="H49" i="1" s="1"/>
  <c r="G59" i="12"/>
  <c r="H57" i="1" s="1"/>
  <c r="G67" i="12"/>
  <c r="H53" i="1" s="1"/>
  <c r="G75" i="12"/>
  <c r="H74" i="1" s="1"/>
  <c r="G83" i="12"/>
  <c r="H104" i="1" s="1"/>
  <c r="G91" i="12"/>
  <c r="H80" i="1" s="1"/>
  <c r="G99" i="12"/>
  <c r="H97" i="1" s="1"/>
  <c r="G107" i="12"/>
  <c r="H121" i="1" s="1"/>
  <c r="G115" i="12"/>
  <c r="H123" i="1" s="1"/>
  <c r="G123" i="12"/>
  <c r="H120" i="1" s="1"/>
  <c r="I63" i="1"/>
  <c r="I19" i="1"/>
  <c r="O66" i="10"/>
  <c r="I51" i="1"/>
  <c r="I6" i="1"/>
  <c r="I112" i="1"/>
  <c r="I101" i="1"/>
  <c r="I39" i="1"/>
  <c r="I47" i="1"/>
  <c r="H78" i="1"/>
  <c r="H76" i="1"/>
  <c r="H61" i="1"/>
  <c r="H72" i="1"/>
  <c r="H67" i="1"/>
  <c r="H86" i="1"/>
  <c r="H116" i="1"/>
  <c r="H22" i="1"/>
  <c r="H50" i="1"/>
  <c r="H37" i="1"/>
  <c r="H59" i="1"/>
  <c r="H94" i="1"/>
  <c r="H63" i="1"/>
  <c r="H107" i="1"/>
  <c r="H99" i="1"/>
  <c r="H102" i="1"/>
  <c r="H85" i="1"/>
  <c r="I111" i="1"/>
  <c r="I22" i="1"/>
  <c r="I116" i="1"/>
  <c r="I86" i="1"/>
  <c r="I76" i="1"/>
  <c r="I78" i="1"/>
  <c r="I32" i="1"/>
  <c r="I41" i="1"/>
  <c r="I40" i="1"/>
  <c r="I79" i="1"/>
  <c r="I115" i="1"/>
  <c r="I108" i="1"/>
  <c r="I92" i="1"/>
  <c r="I55" i="1"/>
  <c r="I75" i="1"/>
  <c r="I60" i="1"/>
  <c r="I46" i="1"/>
  <c r="I24" i="1"/>
  <c r="I25" i="1"/>
  <c r="I56" i="1"/>
  <c r="M77" i="10"/>
  <c r="M37" i="10"/>
  <c r="R49" i="10"/>
  <c r="R110" i="10"/>
  <c r="R108" i="10"/>
  <c r="E77" i="12"/>
  <c r="E81" i="12"/>
  <c r="K93" i="1" s="1"/>
  <c r="E85" i="12"/>
  <c r="E89" i="12"/>
  <c r="K91" i="1" s="1"/>
  <c r="E93" i="12"/>
  <c r="K84" i="1" s="1"/>
  <c r="E97" i="12"/>
  <c r="E101" i="12"/>
  <c r="K113" i="1" s="1"/>
  <c r="E105" i="12"/>
  <c r="K118" i="1" s="1"/>
  <c r="E109" i="12"/>
  <c r="E113" i="12"/>
  <c r="K88" i="1" s="1"/>
  <c r="M112" i="10"/>
  <c r="M8" i="10"/>
  <c r="N113" i="10"/>
  <c r="N105" i="10"/>
  <c r="O34" i="10"/>
  <c r="P43" i="10"/>
  <c r="M94" i="10"/>
  <c r="M117" i="10"/>
  <c r="N118" i="10"/>
  <c r="N6" i="10"/>
  <c r="O103" i="10"/>
  <c r="O15" i="10"/>
  <c r="P104" i="10"/>
  <c r="P96" i="10"/>
  <c r="P88" i="10"/>
  <c r="E59" i="12"/>
  <c r="K57" i="1" s="1"/>
  <c r="E63" i="12"/>
  <c r="E67" i="12"/>
  <c r="K53" i="1" s="1"/>
  <c r="E71" i="12"/>
  <c r="K65" i="1" s="1"/>
  <c r="P61" i="10"/>
  <c r="R114" i="10"/>
  <c r="Q19" i="10"/>
  <c r="E75" i="12"/>
  <c r="K74" i="1" s="1"/>
  <c r="E79" i="12"/>
  <c r="E83" i="12"/>
  <c r="K104" i="1" s="1"/>
  <c r="E87" i="12"/>
  <c r="K69" i="1" s="1"/>
  <c r="E91" i="12"/>
  <c r="E95" i="12"/>
  <c r="K110" i="1" s="1"/>
  <c r="E99" i="12"/>
  <c r="K97" i="1" s="1"/>
  <c r="E103" i="12"/>
  <c r="E107" i="12"/>
  <c r="K121" i="1" s="1"/>
  <c r="E111" i="12"/>
  <c r="E115" i="12"/>
  <c r="K123" i="1" s="1"/>
  <c r="E119" i="12"/>
  <c r="K112" i="1" s="1"/>
  <c r="E117" i="12"/>
  <c r="E121" i="12"/>
  <c r="K119" i="1" s="1"/>
  <c r="E124" i="12"/>
  <c r="K124" i="1" s="1"/>
  <c r="M118" i="10"/>
  <c r="M62" i="10"/>
  <c r="M38" i="10"/>
  <c r="N15" i="10"/>
  <c r="O104" i="10"/>
  <c r="O96" i="10"/>
  <c r="O88" i="10"/>
  <c r="O56" i="10"/>
  <c r="R90" i="10"/>
  <c r="R18" i="10"/>
  <c r="Q115" i="10"/>
  <c r="E4" i="12"/>
  <c r="K4" i="1" s="1"/>
  <c r="E8" i="12"/>
  <c r="K5" i="1" s="1"/>
  <c r="E12" i="12"/>
  <c r="E16" i="12"/>
  <c r="K18" i="1" s="1"/>
  <c r="E20" i="12"/>
  <c r="K19" i="1" s="1"/>
  <c r="E24" i="12"/>
  <c r="E28" i="12"/>
  <c r="K30" i="1" s="1"/>
  <c r="E32" i="12"/>
  <c r="E36" i="12"/>
  <c r="K27" i="1" s="1"/>
  <c r="E40" i="12"/>
  <c r="K41" i="1" s="1"/>
  <c r="E44" i="12"/>
  <c r="E48" i="12"/>
  <c r="K32" i="1" s="1"/>
  <c r="E52" i="12"/>
  <c r="K50" i="1" s="1"/>
  <c r="E56" i="12"/>
  <c r="E60" i="12"/>
  <c r="K37" i="1" s="1"/>
  <c r="E64" i="12"/>
  <c r="E68" i="12"/>
  <c r="K59" i="1" s="1"/>
  <c r="E72" i="12"/>
  <c r="K61" i="1" s="1"/>
  <c r="E76" i="12"/>
  <c r="E80" i="12"/>
  <c r="K72" i="1" s="1"/>
  <c r="E84" i="12"/>
  <c r="K63" i="1" s="1"/>
  <c r="E88" i="12"/>
  <c r="E92" i="12"/>
  <c r="K107" i="1" s="1"/>
  <c r="E96" i="12"/>
  <c r="E100" i="12"/>
  <c r="K99" i="1" s="1"/>
  <c r="E104" i="12"/>
  <c r="K116" i="1" s="1"/>
  <c r="E108" i="12"/>
  <c r="E112" i="12"/>
  <c r="K22" i="1" s="1"/>
  <c r="E116" i="12"/>
  <c r="K85" i="1" s="1"/>
  <c r="E120" i="12"/>
  <c r="E7" i="12"/>
  <c r="K11" i="1" s="1"/>
  <c r="E11" i="12"/>
  <c r="E15" i="12"/>
  <c r="K13" i="1" s="1"/>
  <c r="E19" i="12"/>
  <c r="K26" i="1" s="1"/>
  <c r="E23" i="12"/>
  <c r="E27" i="12"/>
  <c r="K28" i="1" s="1"/>
  <c r="E31" i="12"/>
  <c r="K23" i="1" s="1"/>
  <c r="E35" i="12"/>
  <c r="E39" i="12"/>
  <c r="K34" i="1" s="1"/>
  <c r="E43" i="12"/>
  <c r="E47" i="12"/>
  <c r="K47" i="1" s="1"/>
  <c r="E51" i="12"/>
  <c r="K49" i="1" s="1"/>
  <c r="E55" i="12"/>
  <c r="E6" i="12"/>
  <c r="K7" i="1" s="1"/>
  <c r="E10" i="12"/>
  <c r="K8" i="1" s="1"/>
  <c r="E14" i="12"/>
  <c r="K14" i="1" s="1"/>
  <c r="E18" i="12"/>
  <c r="K21" i="1" s="1"/>
  <c r="E22" i="12"/>
  <c r="E26" i="12"/>
  <c r="K43" i="1" s="1"/>
  <c r="E30" i="12"/>
  <c r="K24" i="1" s="1"/>
  <c r="E34" i="12"/>
  <c r="E38" i="12"/>
  <c r="K46" i="1" s="1"/>
  <c r="E42" i="12"/>
  <c r="K31" i="1" s="1"/>
  <c r="E46" i="12"/>
  <c r="E50" i="12"/>
  <c r="K66" i="1" s="1"/>
  <c r="E54" i="12"/>
  <c r="E58" i="12"/>
  <c r="K77" i="1" s="1"/>
  <c r="E62" i="12"/>
  <c r="K55" i="1" s="1"/>
  <c r="E66" i="12"/>
  <c r="E70" i="12"/>
  <c r="K64" i="1" s="1"/>
  <c r="E74" i="12"/>
  <c r="K82" i="1" s="1"/>
  <c r="E123" i="12"/>
  <c r="E78" i="12"/>
  <c r="K90" i="1" s="1"/>
  <c r="E82" i="12"/>
  <c r="E86" i="12"/>
  <c r="K79" i="1" s="1"/>
  <c r="E90" i="12"/>
  <c r="K81" i="1" s="1"/>
  <c r="E94" i="12"/>
  <c r="E98" i="12"/>
  <c r="K95" i="1" s="1"/>
  <c r="E102" i="12"/>
  <c r="K92" i="1" s="1"/>
  <c r="E106" i="12"/>
  <c r="E110" i="12"/>
  <c r="K108" i="1" s="1"/>
  <c r="E114" i="12"/>
  <c r="E118" i="12"/>
  <c r="K115" i="1" s="1"/>
  <c r="E5" i="12"/>
  <c r="E9" i="12"/>
  <c r="K17" i="1" s="1"/>
  <c r="E13" i="12"/>
  <c r="K6" i="1" s="1"/>
  <c r="E17" i="12"/>
  <c r="E21" i="12"/>
  <c r="K12" i="1" s="1"/>
  <c r="E25" i="12"/>
  <c r="E29" i="12"/>
  <c r="K36" i="1" s="1"/>
  <c r="E33" i="12"/>
  <c r="K20" i="1" s="1"/>
  <c r="E37" i="12"/>
  <c r="E41" i="12"/>
  <c r="K29" i="1" s="1"/>
  <c r="E45" i="12"/>
  <c r="K54" i="1" s="1"/>
  <c r="E49" i="12"/>
  <c r="E53" i="12"/>
  <c r="K70" i="1" s="1"/>
  <c r="E57" i="12"/>
  <c r="E61" i="12"/>
  <c r="K48" i="1" s="1"/>
  <c r="E65" i="12"/>
  <c r="K68" i="1" s="1"/>
  <c r="E69" i="12"/>
  <c r="E73" i="12"/>
  <c r="K87" i="1" s="1"/>
  <c r="E122" i="12"/>
  <c r="K117" i="1" s="1"/>
  <c r="M56" i="10"/>
  <c r="N57" i="10"/>
  <c r="O114" i="10"/>
  <c r="P83" i="10"/>
  <c r="P35" i="10"/>
  <c r="P19" i="10"/>
  <c r="P11" i="10"/>
  <c r="R116" i="10"/>
  <c r="R44" i="10"/>
  <c r="M30" i="10"/>
  <c r="M14" i="10"/>
  <c r="M6" i="10"/>
  <c r="N119" i="10"/>
  <c r="N39" i="10"/>
  <c r="O120" i="10"/>
  <c r="P57" i="10"/>
  <c r="R82" i="10"/>
  <c r="Q59" i="10"/>
  <c r="M101" i="10"/>
  <c r="M85" i="10"/>
  <c r="N102" i="10"/>
  <c r="O63" i="10"/>
  <c r="O31" i="10"/>
  <c r="R72" i="10"/>
  <c r="R64" i="10"/>
  <c r="R111" i="10"/>
  <c r="R79" i="10"/>
  <c r="R7" i="10"/>
  <c r="I5" i="1"/>
  <c r="N83" i="10"/>
  <c r="N43" i="10"/>
  <c r="N35" i="10"/>
  <c r="N11" i="10"/>
  <c r="P109" i="10"/>
  <c r="P93" i="10"/>
  <c r="P29" i="10"/>
  <c r="P5" i="10"/>
  <c r="R54" i="10"/>
  <c r="M114" i="10"/>
  <c r="N115" i="10"/>
  <c r="N19" i="10"/>
  <c r="R94" i="10"/>
  <c r="R62" i="10"/>
  <c r="R38" i="10"/>
  <c r="R14" i="10"/>
  <c r="M120" i="10"/>
  <c r="N65" i="10"/>
  <c r="O82" i="10"/>
  <c r="P59" i="10"/>
  <c r="M110" i="10"/>
  <c r="M78" i="10"/>
  <c r="N87" i="10"/>
  <c r="N55" i="10"/>
  <c r="O72" i="10"/>
  <c r="O64" i="10"/>
  <c r="P121" i="10"/>
  <c r="P89" i="10"/>
  <c r="P73" i="10"/>
  <c r="M69" i="10"/>
  <c r="M53" i="10"/>
  <c r="M21" i="10"/>
  <c r="N46" i="10"/>
  <c r="N22" i="10"/>
  <c r="O111" i="10"/>
  <c r="O79" i="10"/>
  <c r="P117" i="10"/>
  <c r="R118" i="10"/>
  <c r="R6" i="10"/>
  <c r="R84" i="10"/>
  <c r="M46" i="10"/>
  <c r="M22" i="10"/>
  <c r="N111" i="10"/>
  <c r="N79" i="10"/>
  <c r="N7" i="10"/>
  <c r="M109" i="10"/>
  <c r="M93" i="10"/>
  <c r="M29" i="10"/>
  <c r="M5" i="10"/>
  <c r="N86" i="10"/>
  <c r="N54" i="10"/>
  <c r="O95" i="10"/>
  <c r="O71" i="10"/>
  <c r="Q74" i="10"/>
  <c r="E74" i="10" s="1"/>
  <c r="L77" i="1" s="1"/>
  <c r="N103" i="10"/>
  <c r="O16" i="10"/>
  <c r="R42" i="10"/>
  <c r="P115" i="10"/>
  <c r="N70" i="10"/>
  <c r="E70" i="10" s="1"/>
  <c r="L75" i="1" s="1"/>
  <c r="M15" i="10"/>
  <c r="N104" i="10"/>
  <c r="N96" i="10"/>
  <c r="N88" i="10"/>
  <c r="P65" i="10"/>
  <c r="P49" i="10"/>
  <c r="Q107" i="10"/>
  <c r="Q99" i="10"/>
  <c r="R17" i="10"/>
  <c r="E17" i="10" s="1"/>
  <c r="L17" i="1" s="1"/>
  <c r="O60" i="10"/>
  <c r="O117" i="10"/>
  <c r="O94" i="10"/>
  <c r="M7" i="10"/>
  <c r="O14" i="10"/>
  <c r="Q88" i="10"/>
  <c r="M103" i="10"/>
  <c r="M63" i="10"/>
  <c r="M31" i="10"/>
  <c r="N32" i="10"/>
  <c r="N16" i="10"/>
  <c r="O49" i="10"/>
  <c r="P90" i="10"/>
  <c r="P50" i="10"/>
  <c r="P42" i="10"/>
  <c r="P26" i="10"/>
  <c r="P18" i="10"/>
  <c r="R19" i="10"/>
  <c r="R98" i="10"/>
  <c r="R58" i="10"/>
  <c r="N94" i="10"/>
  <c r="N62" i="10"/>
  <c r="N38" i="10"/>
  <c r="N30" i="10"/>
  <c r="N14" i="10"/>
  <c r="O119" i="10"/>
  <c r="O39" i="10"/>
  <c r="O7" i="10"/>
  <c r="P120" i="10"/>
  <c r="P48" i="10"/>
  <c r="P32" i="10"/>
  <c r="P16" i="10"/>
  <c r="R97" i="10"/>
  <c r="R65" i="10"/>
  <c r="R57" i="10"/>
  <c r="R41" i="10"/>
  <c r="R33" i="10"/>
  <c r="R25" i="10"/>
  <c r="R9" i="10"/>
  <c r="Q122" i="10"/>
  <c r="Q114" i="10"/>
  <c r="Q90" i="10"/>
  <c r="Q82" i="10"/>
  <c r="Q66" i="10"/>
  <c r="Q50" i="10"/>
  <c r="Q34" i="10"/>
  <c r="Q10" i="10"/>
  <c r="M108" i="10"/>
  <c r="N109" i="10"/>
  <c r="N93" i="10"/>
  <c r="P95" i="10"/>
  <c r="R112" i="10"/>
  <c r="M49" i="10"/>
  <c r="M32" i="10"/>
  <c r="N33" i="10"/>
  <c r="N9" i="10"/>
  <c r="O50" i="10"/>
  <c r="O26" i="10"/>
  <c r="O10" i="10"/>
  <c r="P75" i="10"/>
  <c r="M87" i="10"/>
  <c r="M55" i="10"/>
  <c r="N72" i="10"/>
  <c r="N64" i="10"/>
  <c r="O121" i="10"/>
  <c r="O89" i="10"/>
  <c r="O73" i="10"/>
  <c r="O33" i="10"/>
  <c r="O9" i="10"/>
  <c r="O48" i="10"/>
  <c r="P97" i="10"/>
  <c r="P41" i="10"/>
  <c r="P25" i="10"/>
  <c r="R122" i="10"/>
  <c r="R66" i="10"/>
  <c r="O23" i="10"/>
  <c r="P112" i="10"/>
  <c r="P56" i="10"/>
  <c r="P8" i="10"/>
  <c r="R113" i="10"/>
  <c r="R105" i="10"/>
  <c r="Q42" i="10"/>
  <c r="Q26" i="10"/>
  <c r="E40" i="10"/>
  <c r="L41" i="1" s="1"/>
  <c r="M65" i="10"/>
  <c r="N90" i="10"/>
  <c r="N82" i="10"/>
  <c r="N42" i="10"/>
  <c r="N18" i="10"/>
  <c r="O59" i="10"/>
  <c r="P4" i="10"/>
  <c r="R117" i="10"/>
  <c r="R77" i="10"/>
  <c r="R37" i="10"/>
  <c r="M104" i="10"/>
  <c r="M96" i="10"/>
  <c r="N49" i="10"/>
  <c r="O18" i="10"/>
  <c r="R100" i="10"/>
  <c r="R92" i="10"/>
  <c r="R76" i="10"/>
  <c r="R68" i="10"/>
  <c r="R60" i="10"/>
  <c r="R36" i="10"/>
  <c r="R20" i="10"/>
  <c r="R4" i="10"/>
  <c r="M119" i="10"/>
  <c r="M39" i="10"/>
  <c r="N120" i="10"/>
  <c r="O65" i="10"/>
  <c r="P98" i="10"/>
  <c r="P82" i="10"/>
  <c r="P58" i="10"/>
  <c r="P10" i="10"/>
  <c r="R75" i="10"/>
  <c r="R59" i="10"/>
  <c r="M102" i="10"/>
  <c r="N63" i="10"/>
  <c r="N31" i="10"/>
  <c r="O32" i="10"/>
  <c r="P33" i="10"/>
  <c r="P9" i="10"/>
  <c r="R50" i="10"/>
  <c r="R26" i="10"/>
  <c r="R10" i="10"/>
  <c r="Q91" i="10"/>
  <c r="Q75" i="10"/>
  <c r="Q67" i="10"/>
  <c r="Q27" i="10"/>
  <c r="M61" i="10"/>
  <c r="M13" i="10"/>
  <c r="N110" i="10"/>
  <c r="N78" i="10"/>
  <c r="O87" i="10"/>
  <c r="O55" i="10"/>
  <c r="P72" i="10"/>
  <c r="P64" i="10"/>
  <c r="R121" i="10"/>
  <c r="R89" i="10"/>
  <c r="R73" i="10"/>
  <c r="Q98" i="10"/>
  <c r="Q58" i="10"/>
  <c r="E123" i="10"/>
  <c r="L120" i="1" s="1"/>
  <c r="M115" i="10"/>
  <c r="M19" i="10"/>
  <c r="P94" i="10"/>
  <c r="P62" i="10"/>
  <c r="P24" i="10"/>
  <c r="Q106" i="10"/>
  <c r="M45" i="10"/>
  <c r="M72" i="10"/>
  <c r="M116" i="10"/>
  <c r="M100" i="10"/>
  <c r="M92" i="10"/>
  <c r="M84" i="10"/>
  <c r="M76" i="10"/>
  <c r="M68" i="10"/>
  <c r="M60" i="10"/>
  <c r="M52" i="10"/>
  <c r="M44" i="10"/>
  <c r="M4" i="10"/>
  <c r="N117" i="10"/>
  <c r="N101" i="10"/>
  <c r="N85" i="10"/>
  <c r="N77" i="10"/>
  <c r="N69" i="10"/>
  <c r="N61" i="10"/>
  <c r="N53" i="10"/>
  <c r="N45" i="10"/>
  <c r="N37" i="10"/>
  <c r="N29" i="10"/>
  <c r="N21" i="10"/>
  <c r="N13" i="10"/>
  <c r="N5" i="10"/>
  <c r="P119" i="10"/>
  <c r="P111" i="10"/>
  <c r="P103" i="10"/>
  <c r="P87" i="10"/>
  <c r="P79" i="10"/>
  <c r="P71" i="10"/>
  <c r="P63" i="10"/>
  <c r="P55" i="10"/>
  <c r="P39" i="10"/>
  <c r="P31" i="10"/>
  <c r="P23" i="10"/>
  <c r="P15" i="10"/>
  <c r="P7" i="10"/>
  <c r="R120" i="10"/>
  <c r="R104" i="10"/>
  <c r="R96" i="10"/>
  <c r="R88" i="10"/>
  <c r="R56" i="10"/>
  <c r="R48" i="10"/>
  <c r="R32" i="10"/>
  <c r="R24" i="10"/>
  <c r="R16" i="10"/>
  <c r="R8" i="10"/>
  <c r="M107" i="10"/>
  <c r="M99" i="10"/>
  <c r="M91" i="10"/>
  <c r="M83" i="10"/>
  <c r="M75" i="10"/>
  <c r="M67" i="10"/>
  <c r="M59" i="10"/>
  <c r="M51" i="10"/>
  <c r="M43" i="10"/>
  <c r="M35" i="10"/>
  <c r="M27" i="10"/>
  <c r="M11" i="10"/>
  <c r="N116" i="10"/>
  <c r="N108" i="10"/>
  <c r="N100" i="10"/>
  <c r="N92" i="10"/>
  <c r="N84" i="10"/>
  <c r="N76" i="10"/>
  <c r="N68" i="10"/>
  <c r="N60" i="10"/>
  <c r="N52" i="10"/>
  <c r="N44" i="10"/>
  <c r="N36" i="10"/>
  <c r="N28" i="10"/>
  <c r="N20" i="10"/>
  <c r="N12" i="10"/>
  <c r="N4" i="10"/>
  <c r="P118" i="10"/>
  <c r="P110" i="10"/>
  <c r="P102" i="10"/>
  <c r="P86" i="10"/>
  <c r="P78" i="10"/>
  <c r="P54" i="10"/>
  <c r="P46" i="10"/>
  <c r="P38" i="10"/>
  <c r="P30" i="10"/>
  <c r="P22" i="10"/>
  <c r="P14" i="10"/>
  <c r="P6" i="10"/>
  <c r="R119" i="10"/>
  <c r="R103" i="10"/>
  <c r="R95" i="10"/>
  <c r="R87" i="10"/>
  <c r="R71" i="10"/>
  <c r="R63" i="10"/>
  <c r="R55" i="10"/>
  <c r="R39" i="10"/>
  <c r="R31" i="10"/>
  <c r="R23" i="10"/>
  <c r="R15" i="10"/>
  <c r="M122" i="10"/>
  <c r="N107" i="10"/>
  <c r="N99" i="10"/>
  <c r="N91" i="10"/>
  <c r="N75" i="10"/>
  <c r="N67" i="10"/>
  <c r="N59" i="10"/>
  <c r="N51" i="10"/>
  <c r="N27" i="10"/>
  <c r="P101" i="10"/>
  <c r="P85" i="10"/>
  <c r="P77" i="10"/>
  <c r="P69" i="10"/>
  <c r="P53" i="10"/>
  <c r="P45" i="10"/>
  <c r="P37" i="10"/>
  <c r="P21" i="10"/>
  <c r="P13" i="10"/>
  <c r="R102" i="10"/>
  <c r="R86" i="10"/>
  <c r="R78" i="10"/>
  <c r="R46" i="10"/>
  <c r="R30" i="10"/>
  <c r="R22" i="10"/>
  <c r="M121" i="10"/>
  <c r="M113" i="10"/>
  <c r="M105" i="10"/>
  <c r="M97" i="10"/>
  <c r="M89" i="10"/>
  <c r="M73" i="10"/>
  <c r="M57" i="10"/>
  <c r="M41" i="10"/>
  <c r="M33" i="10"/>
  <c r="M25" i="10"/>
  <c r="M9" i="10"/>
  <c r="N122" i="10"/>
  <c r="N114" i="10"/>
  <c r="N106" i="10"/>
  <c r="N98" i="10"/>
  <c r="N66" i="10"/>
  <c r="N58" i="10"/>
  <c r="N50" i="10"/>
  <c r="N34" i="10"/>
  <c r="N26" i="10"/>
  <c r="N10" i="10"/>
  <c r="O115" i="10"/>
  <c r="O107" i="10"/>
  <c r="O99" i="10"/>
  <c r="O91" i="10"/>
  <c r="O83" i="10"/>
  <c r="O75" i="10"/>
  <c r="O67" i="10"/>
  <c r="O51" i="10"/>
  <c r="O43" i="10"/>
  <c r="O35" i="10"/>
  <c r="O27" i="10"/>
  <c r="O19" i="10"/>
  <c r="O11" i="10"/>
  <c r="P116" i="10"/>
  <c r="P108" i="10"/>
  <c r="P100" i="10"/>
  <c r="P92" i="10"/>
  <c r="P84" i="10"/>
  <c r="P76" i="10"/>
  <c r="P68" i="10"/>
  <c r="P60" i="10"/>
  <c r="P52" i="10"/>
  <c r="P44" i="10"/>
  <c r="P36" i="10"/>
  <c r="P28" i="10"/>
  <c r="P20" i="10"/>
  <c r="P12" i="10"/>
  <c r="R109" i="10"/>
  <c r="R101" i="10"/>
  <c r="R93" i="10"/>
  <c r="R85" i="10"/>
  <c r="R69" i="10"/>
  <c r="R61" i="10"/>
  <c r="R53" i="10"/>
  <c r="R45" i="10"/>
  <c r="R29" i="10"/>
  <c r="R21" i="10"/>
  <c r="R13" i="10"/>
  <c r="R5" i="10"/>
  <c r="M64" i="10"/>
  <c r="E80" i="10" s="1"/>
  <c r="L76" i="1" s="1"/>
  <c r="M48" i="10"/>
  <c r="M24" i="10"/>
  <c r="N121" i="10"/>
  <c r="N97" i="10"/>
  <c r="N89" i="10"/>
  <c r="N73" i="10"/>
  <c r="N41" i="10"/>
  <c r="N25" i="10"/>
  <c r="O122" i="10"/>
  <c r="O106" i="10"/>
  <c r="O98" i="10"/>
  <c r="O58" i="10"/>
  <c r="P107" i="10"/>
  <c r="P99" i="10"/>
  <c r="P91" i="10"/>
  <c r="P67" i="10"/>
  <c r="P51" i="10"/>
  <c r="P27" i="10"/>
  <c r="R52" i="10"/>
  <c r="R28" i="10"/>
  <c r="R12" i="10"/>
  <c r="M111" i="10"/>
  <c r="M79" i="10"/>
  <c r="M71" i="10"/>
  <c r="M23" i="10"/>
  <c r="N112" i="10"/>
  <c r="N56" i="10"/>
  <c r="N48" i="10"/>
  <c r="N24" i="10"/>
  <c r="N8" i="10"/>
  <c r="O113" i="10"/>
  <c r="O105" i="10"/>
  <c r="O97" i="10"/>
  <c r="O57" i="10"/>
  <c r="O41" i="10"/>
  <c r="O25" i="10"/>
  <c r="P122" i="10"/>
  <c r="P114" i="10"/>
  <c r="P106" i="10"/>
  <c r="P66" i="10"/>
  <c r="P34" i="10"/>
  <c r="R115" i="10"/>
  <c r="R107" i="10"/>
  <c r="R99" i="10"/>
  <c r="R91" i="10"/>
  <c r="R83" i="10"/>
  <c r="R67" i="10"/>
  <c r="R51" i="10"/>
  <c r="R43" i="10"/>
  <c r="R35" i="10"/>
  <c r="R27" i="10"/>
  <c r="R11" i="10"/>
  <c r="M82" i="10"/>
  <c r="M86" i="10"/>
  <c r="M54" i="10"/>
  <c r="N95" i="10"/>
  <c r="N71" i="10"/>
  <c r="N23" i="10"/>
  <c r="O112" i="10"/>
  <c r="O24" i="10"/>
  <c r="O8" i="10"/>
  <c r="P113" i="10"/>
  <c r="P105" i="10"/>
  <c r="R106" i="10"/>
  <c r="R34" i="10"/>
  <c r="Q83" i="10"/>
  <c r="Q51" i="10"/>
  <c r="Q43" i="10"/>
  <c r="Q35" i="10"/>
  <c r="Q11" i="10"/>
  <c r="E124" i="10"/>
  <c r="L124" i="1" s="1"/>
  <c r="E81" i="10"/>
  <c r="L87" i="1" s="1"/>
  <c r="E47" i="10"/>
  <c r="L47" i="1" s="1"/>
  <c r="I89" i="1"/>
  <c r="I90" i="1"/>
  <c r="I64" i="1"/>
  <c r="I14" i="1"/>
  <c r="I7" i="1"/>
  <c r="I82" i="1"/>
  <c r="I8" i="1"/>
  <c r="J22" i="1"/>
  <c r="J116" i="1"/>
  <c r="J86" i="1"/>
  <c r="J72" i="1"/>
  <c r="J61" i="1"/>
  <c r="J76" i="1"/>
  <c r="J32" i="1"/>
  <c r="J41" i="1"/>
  <c r="J40" i="1"/>
  <c r="J18" i="1"/>
  <c r="J5" i="1"/>
  <c r="I117" i="1"/>
  <c r="I106" i="1"/>
  <c r="I114" i="1"/>
  <c r="I95" i="1"/>
  <c r="I81" i="1"/>
  <c r="I103" i="1"/>
  <c r="I77" i="1"/>
  <c r="I66" i="1"/>
  <c r="I31" i="1"/>
  <c r="I45" i="1"/>
  <c r="I43" i="1"/>
  <c r="I21" i="1"/>
  <c r="I33" i="1"/>
  <c r="I18" i="1"/>
  <c r="I67" i="1"/>
  <c r="I72" i="1"/>
  <c r="I61" i="1"/>
  <c r="I37" i="1"/>
  <c r="I99" i="1"/>
  <c r="I50" i="1"/>
  <c r="I124" i="1"/>
  <c r="I27" i="1"/>
  <c r="I16" i="1"/>
  <c r="I85" i="1"/>
  <c r="I17" i="1"/>
  <c r="I87" i="1"/>
  <c r="I29" i="1"/>
  <c r="I100" i="1"/>
  <c r="I70" i="1"/>
  <c r="I54" i="1"/>
  <c r="I122" i="1"/>
  <c r="I113" i="1"/>
  <c r="I36" i="1"/>
  <c r="I84" i="1"/>
  <c r="I62" i="1"/>
  <c r="I119" i="1"/>
  <c r="I88" i="1"/>
  <c r="I96" i="1"/>
  <c r="I20" i="1"/>
  <c r="I15" i="1"/>
  <c r="I93" i="1"/>
  <c r="I11" i="1"/>
  <c r="I65" i="1"/>
  <c r="I73" i="1"/>
  <c r="I34" i="1"/>
  <c r="I109" i="1"/>
  <c r="I97" i="1"/>
  <c r="I53" i="1"/>
  <c r="I35" i="1"/>
  <c r="I23" i="1"/>
  <c r="I110" i="1"/>
  <c r="I44" i="1"/>
  <c r="I69" i="1"/>
  <c r="I13" i="1"/>
  <c r="I98" i="1"/>
  <c r="O49" i="3"/>
  <c r="O57" i="3"/>
  <c r="O98" i="3"/>
  <c r="O99" i="3"/>
  <c r="O100" i="3"/>
  <c r="O101" i="3"/>
  <c r="O102" i="3"/>
  <c r="O103" i="3"/>
  <c r="O104" i="3"/>
  <c r="O105" i="3"/>
  <c r="O106" i="3"/>
  <c r="O107" i="3"/>
  <c r="P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N2" i="3"/>
  <c r="O2" i="3" s="1"/>
  <c r="N3" i="3"/>
  <c r="O3" i="3" s="1"/>
  <c r="N4" i="3"/>
  <c r="O4" i="3" s="1"/>
  <c r="N5" i="3"/>
  <c r="O5" i="3" s="1"/>
  <c r="N6" i="3"/>
  <c r="O6" i="3" s="1"/>
  <c r="N7" i="3"/>
  <c r="O7" i="3" s="1"/>
  <c r="N8" i="3"/>
  <c r="O8" i="3" s="1"/>
  <c r="N9" i="3"/>
  <c r="O9" i="3" s="1"/>
  <c r="N10" i="3"/>
  <c r="O10" i="3" s="1"/>
  <c r="N11" i="3"/>
  <c r="O11" i="3" s="1"/>
  <c r="N12" i="3"/>
  <c r="O12" i="3" s="1"/>
  <c r="N13" i="3"/>
  <c r="O13" i="3" s="1"/>
  <c r="N14" i="3"/>
  <c r="O14" i="3" s="1"/>
  <c r="N15" i="3"/>
  <c r="O15" i="3" s="1"/>
  <c r="N16" i="3"/>
  <c r="O16" i="3" s="1"/>
  <c r="N17" i="3"/>
  <c r="O17" i="3" s="1"/>
  <c r="N18" i="3"/>
  <c r="O18" i="3" s="1"/>
  <c r="N19" i="3"/>
  <c r="O19" i="3" s="1"/>
  <c r="N20" i="3"/>
  <c r="O20" i="3" s="1"/>
  <c r="N21" i="3"/>
  <c r="O21" i="3" s="1"/>
  <c r="N22" i="3"/>
  <c r="O22" i="3" s="1"/>
  <c r="N23" i="3"/>
  <c r="O23" i="3" s="1"/>
  <c r="N24" i="3"/>
  <c r="O24" i="3" s="1"/>
  <c r="N25" i="3"/>
  <c r="O25" i="3" s="1"/>
  <c r="N26" i="3"/>
  <c r="O26" i="3" s="1"/>
  <c r="N27" i="3"/>
  <c r="O27" i="3" s="1"/>
  <c r="N28" i="3"/>
  <c r="O28" i="3" s="1"/>
  <c r="N29" i="3"/>
  <c r="O29" i="3" s="1"/>
  <c r="N30" i="3"/>
  <c r="O30" i="3" s="1"/>
  <c r="N31" i="3"/>
  <c r="O31" i="3" s="1"/>
  <c r="N32" i="3"/>
  <c r="O32" i="3" s="1"/>
  <c r="N33" i="3"/>
  <c r="O33" i="3" s="1"/>
  <c r="N34" i="3"/>
  <c r="O34" i="3" s="1"/>
  <c r="N35" i="3"/>
  <c r="O35" i="3" s="1"/>
  <c r="N36" i="3"/>
  <c r="O36" i="3" s="1"/>
  <c r="N37" i="3"/>
  <c r="O37" i="3" s="1"/>
  <c r="N38" i="3"/>
  <c r="O38" i="3" s="1"/>
  <c r="N39" i="3"/>
  <c r="O39" i="3" s="1"/>
  <c r="N40" i="3"/>
  <c r="O40" i="3" s="1"/>
  <c r="N41" i="3"/>
  <c r="O41" i="3" s="1"/>
  <c r="N42" i="3"/>
  <c r="O42" i="3" s="1"/>
  <c r="N43" i="3"/>
  <c r="O43" i="3" s="1"/>
  <c r="N44" i="3"/>
  <c r="O44" i="3" s="1"/>
  <c r="N45" i="3"/>
  <c r="O45" i="3" s="1"/>
  <c r="N46" i="3"/>
  <c r="O46" i="3" s="1"/>
  <c r="N47" i="3"/>
  <c r="O47" i="3" s="1"/>
  <c r="N48" i="3"/>
  <c r="O48" i="3" s="1"/>
  <c r="N49" i="3"/>
  <c r="N50" i="3"/>
  <c r="O50" i="3" s="1"/>
  <c r="N51" i="3"/>
  <c r="O51" i="3" s="1"/>
  <c r="N52" i="3"/>
  <c r="O52" i="3" s="1"/>
  <c r="N53" i="3"/>
  <c r="O53" i="3" s="1"/>
  <c r="N54" i="3"/>
  <c r="O54" i="3" s="1"/>
  <c r="N55" i="3"/>
  <c r="O55" i="3" s="1"/>
  <c r="N56" i="3"/>
  <c r="O56" i="3" s="1"/>
  <c r="N57" i="3"/>
  <c r="N58" i="3"/>
  <c r="O58" i="3" s="1"/>
  <c r="N59" i="3"/>
  <c r="O59" i="3" s="1"/>
  <c r="N60" i="3"/>
  <c r="O60" i="3" s="1"/>
  <c r="N61" i="3"/>
  <c r="O61" i="3" s="1"/>
  <c r="N62" i="3"/>
  <c r="O62" i="3" s="1"/>
  <c r="N63" i="3"/>
  <c r="O63" i="3" s="1"/>
  <c r="N64" i="3"/>
  <c r="O64" i="3" s="1"/>
  <c r="N65" i="3"/>
  <c r="O65" i="3" s="1"/>
  <c r="N66" i="3"/>
  <c r="O66" i="3" s="1"/>
  <c r="N67" i="3"/>
  <c r="O67" i="3" s="1"/>
  <c r="N68" i="3"/>
  <c r="O68" i="3" s="1"/>
  <c r="N69" i="3"/>
  <c r="O69" i="3" s="1"/>
  <c r="N70" i="3"/>
  <c r="O70" i="3" s="1"/>
  <c r="N71" i="3"/>
  <c r="O71" i="3" s="1"/>
  <c r="N72" i="3"/>
  <c r="O72" i="3" s="1"/>
  <c r="N73" i="3"/>
  <c r="O73" i="3" s="1"/>
  <c r="N74" i="3"/>
  <c r="O74" i="3" s="1"/>
  <c r="N75" i="3"/>
  <c r="O75" i="3" s="1"/>
  <c r="N76" i="3"/>
  <c r="O76" i="3" s="1"/>
  <c r="N77" i="3"/>
  <c r="O77" i="3" s="1"/>
  <c r="N78" i="3"/>
  <c r="O78" i="3" s="1"/>
  <c r="N79" i="3"/>
  <c r="O79" i="3" s="1"/>
  <c r="N80" i="3"/>
  <c r="O80" i="3" s="1"/>
  <c r="N81" i="3"/>
  <c r="O81" i="3" s="1"/>
  <c r="N82" i="3"/>
  <c r="O82" i="3" s="1"/>
  <c r="N83" i="3"/>
  <c r="O83" i="3" s="1"/>
  <c r="N84" i="3"/>
  <c r="O84" i="3" s="1"/>
  <c r="N85" i="3"/>
  <c r="O85" i="3" s="1"/>
  <c r="N86" i="3"/>
  <c r="O86" i="3" s="1"/>
  <c r="N87" i="3"/>
  <c r="O87" i="3" s="1"/>
  <c r="N88" i="3"/>
  <c r="O88" i="3" s="1"/>
  <c r="N89" i="3"/>
  <c r="O89" i="3" s="1"/>
  <c r="N90" i="3"/>
  <c r="O90" i="3" s="1"/>
  <c r="N91" i="3"/>
  <c r="O91" i="3" s="1"/>
  <c r="N92" i="3"/>
  <c r="O92" i="3" s="1"/>
  <c r="N93" i="3"/>
  <c r="O93" i="3" s="1"/>
  <c r="N94" i="3"/>
  <c r="O94" i="3" s="1"/>
  <c r="N95" i="3"/>
  <c r="O95" i="3" s="1"/>
  <c r="N96" i="3"/>
  <c r="O96" i="3" s="1"/>
  <c r="N97" i="3"/>
  <c r="O97" i="3" s="1"/>
  <c r="N98" i="3"/>
  <c r="N99" i="3"/>
  <c r="N100" i="3"/>
  <c r="N101" i="3"/>
  <c r="N102" i="3"/>
  <c r="N103" i="3"/>
  <c r="N104" i="3"/>
  <c r="N105" i="3"/>
  <c r="N106" i="3"/>
  <c r="N107" i="3"/>
  <c r="R2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Q2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P2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N2" i="4"/>
  <c r="O2" i="4" s="1"/>
  <c r="N3" i="4"/>
  <c r="O3" i="4" s="1"/>
  <c r="N4" i="4"/>
  <c r="O4" i="4" s="1"/>
  <c r="N5" i="4"/>
  <c r="O5" i="4" s="1"/>
  <c r="N6" i="4"/>
  <c r="O6" i="4" s="1"/>
  <c r="N7" i="4"/>
  <c r="O7" i="4" s="1"/>
  <c r="N8" i="4"/>
  <c r="O8" i="4" s="1"/>
  <c r="N9" i="4"/>
  <c r="O9" i="4" s="1"/>
  <c r="N10" i="4"/>
  <c r="O10" i="4" s="1"/>
  <c r="N11" i="4"/>
  <c r="O11" i="4" s="1"/>
  <c r="N12" i="4"/>
  <c r="O12" i="4" s="1"/>
  <c r="N13" i="4"/>
  <c r="O13" i="4" s="1"/>
  <c r="N14" i="4"/>
  <c r="O14" i="4" s="1"/>
  <c r="N15" i="4"/>
  <c r="O15" i="4" s="1"/>
  <c r="N16" i="4"/>
  <c r="O16" i="4" s="1"/>
  <c r="N17" i="4"/>
  <c r="O17" i="4" s="1"/>
  <c r="N18" i="4"/>
  <c r="O18" i="4" s="1"/>
  <c r="N19" i="4"/>
  <c r="O19" i="4" s="1"/>
  <c r="N20" i="4"/>
  <c r="O20" i="4" s="1"/>
  <c r="N21" i="4"/>
  <c r="O21" i="4" s="1"/>
  <c r="N22" i="4"/>
  <c r="O22" i="4" s="1"/>
  <c r="N23" i="4"/>
  <c r="O23" i="4" s="1"/>
  <c r="N24" i="4"/>
  <c r="O24" i="4" s="1"/>
  <c r="N25" i="4"/>
  <c r="O25" i="4" s="1"/>
  <c r="N26" i="4"/>
  <c r="O26" i="4" s="1"/>
  <c r="N27" i="4"/>
  <c r="O27" i="4" s="1"/>
  <c r="N28" i="4"/>
  <c r="O28" i="4" s="1"/>
  <c r="N29" i="4"/>
  <c r="O29" i="4" s="1"/>
  <c r="N30" i="4"/>
  <c r="O30" i="4" s="1"/>
  <c r="N31" i="4"/>
  <c r="O31" i="4" s="1"/>
  <c r="N32" i="4"/>
  <c r="O32" i="4" s="1"/>
  <c r="N33" i="4"/>
  <c r="O33" i="4" s="1"/>
  <c r="N34" i="4"/>
  <c r="O34" i="4" s="1"/>
  <c r="N35" i="4"/>
  <c r="O35" i="4" s="1"/>
  <c r="N36" i="4"/>
  <c r="O36" i="4" s="1"/>
  <c r="N37" i="4"/>
  <c r="O37" i="4" s="1"/>
  <c r="N38" i="4"/>
  <c r="O38" i="4" s="1"/>
  <c r="N39" i="4"/>
  <c r="O39" i="4" s="1"/>
  <c r="N40" i="4"/>
  <c r="O40" i="4" s="1"/>
  <c r="N41" i="4"/>
  <c r="O41" i="4" s="1"/>
  <c r="N42" i="4"/>
  <c r="O42" i="4" s="1"/>
  <c r="N43" i="4"/>
  <c r="O43" i="4" s="1"/>
  <c r="N44" i="4"/>
  <c r="O44" i="4" s="1"/>
  <c r="N45" i="4"/>
  <c r="O45" i="4" s="1"/>
  <c r="N46" i="4"/>
  <c r="O46" i="4" s="1"/>
  <c r="N47" i="4"/>
  <c r="O47" i="4" s="1"/>
  <c r="N48" i="4"/>
  <c r="O48" i="4" s="1"/>
  <c r="N49" i="4"/>
  <c r="O49" i="4" s="1"/>
  <c r="N50" i="4"/>
  <c r="O50" i="4" s="1"/>
  <c r="N51" i="4"/>
  <c r="O51" i="4" s="1"/>
  <c r="N52" i="4"/>
  <c r="O52" i="4" s="1"/>
  <c r="N53" i="4"/>
  <c r="O53" i="4" s="1"/>
  <c r="N54" i="4"/>
  <c r="O54" i="4" s="1"/>
  <c r="N55" i="4"/>
  <c r="O55" i="4" s="1"/>
  <c r="N56" i="4"/>
  <c r="O56" i="4" s="1"/>
  <c r="N57" i="4"/>
  <c r="O57" i="4" s="1"/>
  <c r="N58" i="4"/>
  <c r="O58" i="4" s="1"/>
  <c r="N59" i="4"/>
  <c r="O59" i="4" s="1"/>
  <c r="N60" i="4"/>
  <c r="O60" i="4" s="1"/>
  <c r="N61" i="4"/>
  <c r="O61" i="4" s="1"/>
  <c r="N62" i="4"/>
  <c r="O62" i="4" s="1"/>
  <c r="N63" i="4"/>
  <c r="O63" i="4" s="1"/>
  <c r="N64" i="4"/>
  <c r="O64" i="4" s="1"/>
  <c r="N65" i="4"/>
  <c r="O65" i="4" s="1"/>
  <c r="N66" i="4"/>
  <c r="O66" i="4" s="1"/>
  <c r="N67" i="4"/>
  <c r="O67" i="4" s="1"/>
  <c r="N68" i="4"/>
  <c r="O68" i="4" s="1"/>
  <c r="N69" i="4"/>
  <c r="O69" i="4" s="1"/>
  <c r="N70" i="4"/>
  <c r="O70" i="4" s="1"/>
  <c r="N71" i="4"/>
  <c r="O71" i="4" s="1"/>
  <c r="N72" i="4"/>
  <c r="O72" i="4" s="1"/>
  <c r="N73" i="4"/>
  <c r="O73" i="4" s="1"/>
  <c r="N74" i="4"/>
  <c r="O74" i="4" s="1"/>
  <c r="N75" i="4"/>
  <c r="O75" i="4" s="1"/>
  <c r="N76" i="4"/>
  <c r="O76" i="4" s="1"/>
  <c r="N77" i="4"/>
  <c r="O77" i="4" s="1"/>
  <c r="N78" i="4"/>
  <c r="O78" i="4" s="1"/>
  <c r="N79" i="4"/>
  <c r="O79" i="4" s="1"/>
  <c r="N80" i="4"/>
  <c r="O80" i="4" s="1"/>
  <c r="N81" i="4"/>
  <c r="O81" i="4" s="1"/>
  <c r="N82" i="4"/>
  <c r="O82" i="4" s="1"/>
  <c r="N83" i="4"/>
  <c r="O83" i="4" s="1"/>
  <c r="N84" i="4"/>
  <c r="O84" i="4" s="1"/>
  <c r="N85" i="4"/>
  <c r="O85" i="4" s="1"/>
  <c r="N86" i="4"/>
  <c r="O86" i="4" s="1"/>
  <c r="N87" i="4"/>
  <c r="O87" i="4" s="1"/>
  <c r="N88" i="4"/>
  <c r="O88" i="4" s="1"/>
  <c r="N89" i="4"/>
  <c r="O89" i="4" s="1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R2" i="8"/>
  <c r="R3" i="8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Q2" i="8"/>
  <c r="Q3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R2" i="7"/>
  <c r="R3" i="7"/>
  <c r="R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Q2" i="7"/>
  <c r="Q3" i="7"/>
  <c r="Q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O2" i="9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P2" i="9"/>
  <c r="P3" i="9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N2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O38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P2" i="8"/>
  <c r="P3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N2" i="8"/>
  <c r="N3" i="8"/>
  <c r="O3" i="8" s="1"/>
  <c r="N4" i="8"/>
  <c r="O4" i="8" s="1"/>
  <c r="N5" i="8"/>
  <c r="O5" i="8" s="1"/>
  <c r="N6" i="8"/>
  <c r="O6" i="8" s="1"/>
  <c r="N7" i="8"/>
  <c r="O7" i="8" s="1"/>
  <c r="N8" i="8"/>
  <c r="O8" i="8" s="1"/>
  <c r="N9" i="8"/>
  <c r="O9" i="8" s="1"/>
  <c r="N10" i="8"/>
  <c r="O10" i="8" s="1"/>
  <c r="N11" i="8"/>
  <c r="O11" i="8" s="1"/>
  <c r="N12" i="8"/>
  <c r="O12" i="8" s="1"/>
  <c r="N13" i="8"/>
  <c r="O13" i="8" s="1"/>
  <c r="N14" i="8"/>
  <c r="O14" i="8" s="1"/>
  <c r="N15" i="8"/>
  <c r="O15" i="8" s="1"/>
  <c r="N16" i="8"/>
  <c r="O16" i="8" s="1"/>
  <c r="N17" i="8"/>
  <c r="O17" i="8" s="1"/>
  <c r="N18" i="8"/>
  <c r="O18" i="8" s="1"/>
  <c r="N19" i="8"/>
  <c r="O19" i="8" s="1"/>
  <c r="N20" i="8"/>
  <c r="O20" i="8" s="1"/>
  <c r="N21" i="8"/>
  <c r="O21" i="8" s="1"/>
  <c r="N22" i="8"/>
  <c r="O22" i="8" s="1"/>
  <c r="N23" i="8"/>
  <c r="O23" i="8" s="1"/>
  <c r="N24" i="8"/>
  <c r="O24" i="8" s="1"/>
  <c r="N25" i="8"/>
  <c r="O25" i="8" s="1"/>
  <c r="N26" i="8"/>
  <c r="O26" i="8" s="1"/>
  <c r="N27" i="8"/>
  <c r="O27" i="8" s="1"/>
  <c r="N28" i="8"/>
  <c r="O28" i="8" s="1"/>
  <c r="N29" i="8"/>
  <c r="O29" i="8" s="1"/>
  <c r="N30" i="8"/>
  <c r="O30" i="8" s="1"/>
  <c r="N31" i="8"/>
  <c r="O31" i="8" s="1"/>
  <c r="N32" i="8"/>
  <c r="O32" i="8" s="1"/>
  <c r="N33" i="8"/>
  <c r="O33" i="8" s="1"/>
  <c r="N34" i="8"/>
  <c r="O34" i="8" s="1"/>
  <c r="N35" i="8"/>
  <c r="O35" i="8" s="1"/>
  <c r="N36" i="8"/>
  <c r="O36" i="8" s="1"/>
  <c r="N37" i="8"/>
  <c r="O37" i="8" s="1"/>
  <c r="N38" i="8"/>
  <c r="N39" i="8"/>
  <c r="O39" i="8" s="1"/>
  <c r="N40" i="8"/>
  <c r="O40" i="8" s="1"/>
  <c r="N41" i="8"/>
  <c r="O41" i="8" s="1"/>
  <c r="N42" i="8"/>
  <c r="O42" i="8" s="1"/>
  <c r="N43" i="8"/>
  <c r="O43" i="8" s="1"/>
  <c r="N44" i="8"/>
  <c r="O44" i="8" s="1"/>
  <c r="N45" i="8"/>
  <c r="O45" i="8" s="1"/>
  <c r="N46" i="8"/>
  <c r="O46" i="8" s="1"/>
  <c r="N47" i="8"/>
  <c r="O47" i="8" s="1"/>
  <c r="N48" i="8"/>
  <c r="O48" i="8" s="1"/>
  <c r="N49" i="8"/>
  <c r="O49" i="8" s="1"/>
  <c r="N50" i="8"/>
  <c r="O50" i="8" s="1"/>
  <c r="N51" i="8"/>
  <c r="O51" i="8" s="1"/>
  <c r="N52" i="8"/>
  <c r="O52" i="8" s="1"/>
  <c r="N53" i="8"/>
  <c r="O53" i="8" s="1"/>
  <c r="N54" i="8"/>
  <c r="O54" i="8" s="1"/>
  <c r="N55" i="8"/>
  <c r="O55" i="8" s="1"/>
  <c r="N56" i="8"/>
  <c r="O56" i="8" s="1"/>
  <c r="N57" i="8"/>
  <c r="O57" i="8" s="1"/>
  <c r="N58" i="8"/>
  <c r="O58" i="8" s="1"/>
  <c r="N59" i="8"/>
  <c r="O59" i="8" s="1"/>
  <c r="N60" i="8"/>
  <c r="O60" i="8" s="1"/>
  <c r="N61" i="8"/>
  <c r="O61" i="8" s="1"/>
  <c r="N62" i="8"/>
  <c r="O62" i="8" s="1"/>
  <c r="N63" i="8"/>
  <c r="O63" i="8" s="1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O19" i="7"/>
  <c r="O42" i="7"/>
  <c r="O65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P2" i="7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N2" i="7"/>
  <c r="N3" i="7"/>
  <c r="N4" i="7"/>
  <c r="O4" i="7" s="1"/>
  <c r="N5" i="7"/>
  <c r="O5" i="7" s="1"/>
  <c r="N6" i="7"/>
  <c r="O6" i="7" s="1"/>
  <c r="N7" i="7"/>
  <c r="O7" i="7" s="1"/>
  <c r="N8" i="7"/>
  <c r="O8" i="7" s="1"/>
  <c r="N9" i="7"/>
  <c r="O9" i="7" s="1"/>
  <c r="N10" i="7"/>
  <c r="O10" i="7" s="1"/>
  <c r="N11" i="7"/>
  <c r="O11" i="7" s="1"/>
  <c r="N12" i="7"/>
  <c r="O12" i="7" s="1"/>
  <c r="N13" i="7"/>
  <c r="O13" i="7" s="1"/>
  <c r="N14" i="7"/>
  <c r="O14" i="7" s="1"/>
  <c r="N15" i="7"/>
  <c r="O15" i="7" s="1"/>
  <c r="N16" i="7"/>
  <c r="O16" i="7" s="1"/>
  <c r="N17" i="7"/>
  <c r="O17" i="7" s="1"/>
  <c r="N18" i="7"/>
  <c r="O18" i="7" s="1"/>
  <c r="N19" i="7"/>
  <c r="N20" i="7"/>
  <c r="O20" i="7" s="1"/>
  <c r="N21" i="7"/>
  <c r="O21" i="7" s="1"/>
  <c r="N22" i="7"/>
  <c r="O22" i="7" s="1"/>
  <c r="N23" i="7"/>
  <c r="O23" i="7" s="1"/>
  <c r="N24" i="7"/>
  <c r="O24" i="7" s="1"/>
  <c r="N25" i="7"/>
  <c r="O25" i="7" s="1"/>
  <c r="N26" i="7"/>
  <c r="O26" i="7" s="1"/>
  <c r="N27" i="7"/>
  <c r="O27" i="7" s="1"/>
  <c r="N28" i="7"/>
  <c r="O28" i="7" s="1"/>
  <c r="N29" i="7"/>
  <c r="O29" i="7" s="1"/>
  <c r="N30" i="7"/>
  <c r="O30" i="7" s="1"/>
  <c r="N31" i="7"/>
  <c r="O31" i="7" s="1"/>
  <c r="N32" i="7"/>
  <c r="O32" i="7" s="1"/>
  <c r="N33" i="7"/>
  <c r="O33" i="7" s="1"/>
  <c r="N34" i="7"/>
  <c r="O34" i="7" s="1"/>
  <c r="N35" i="7"/>
  <c r="O35" i="7" s="1"/>
  <c r="N36" i="7"/>
  <c r="O36" i="7" s="1"/>
  <c r="N37" i="7"/>
  <c r="O37" i="7" s="1"/>
  <c r="N38" i="7"/>
  <c r="O38" i="7" s="1"/>
  <c r="N39" i="7"/>
  <c r="O39" i="7" s="1"/>
  <c r="N40" i="7"/>
  <c r="O40" i="7" s="1"/>
  <c r="N41" i="7"/>
  <c r="O41" i="7" s="1"/>
  <c r="N42" i="7"/>
  <c r="N43" i="7"/>
  <c r="O43" i="7" s="1"/>
  <c r="N44" i="7"/>
  <c r="O44" i="7" s="1"/>
  <c r="N45" i="7"/>
  <c r="O45" i="7" s="1"/>
  <c r="N46" i="7"/>
  <c r="O46" i="7" s="1"/>
  <c r="N47" i="7"/>
  <c r="O47" i="7" s="1"/>
  <c r="N48" i="7"/>
  <c r="O48" i="7" s="1"/>
  <c r="N49" i="7"/>
  <c r="O49" i="7" s="1"/>
  <c r="N50" i="7"/>
  <c r="O50" i="7" s="1"/>
  <c r="N51" i="7"/>
  <c r="O51" i="7" s="1"/>
  <c r="N52" i="7"/>
  <c r="O52" i="7" s="1"/>
  <c r="N53" i="7"/>
  <c r="O53" i="7" s="1"/>
  <c r="N54" i="7"/>
  <c r="O54" i="7" s="1"/>
  <c r="N55" i="7"/>
  <c r="O55" i="7" s="1"/>
  <c r="N56" i="7"/>
  <c r="O56" i="7" s="1"/>
  <c r="N57" i="7"/>
  <c r="O57" i="7" s="1"/>
  <c r="N58" i="7"/>
  <c r="O58" i="7" s="1"/>
  <c r="N59" i="7"/>
  <c r="O59" i="7" s="1"/>
  <c r="N60" i="7"/>
  <c r="O60" i="7" s="1"/>
  <c r="N61" i="7"/>
  <c r="O61" i="7" s="1"/>
  <c r="N62" i="7"/>
  <c r="O62" i="7" s="1"/>
  <c r="N63" i="7"/>
  <c r="O63" i="7" s="1"/>
  <c r="N64" i="7"/>
  <c r="O64" i="7" s="1"/>
  <c r="N65" i="7"/>
  <c r="N66" i="7"/>
  <c r="O66" i="7" s="1"/>
  <c r="N67" i="7"/>
  <c r="O67" i="7" s="1"/>
  <c r="N68" i="7"/>
  <c r="O68" i="7" s="1"/>
  <c r="N69" i="7"/>
  <c r="O69" i="7" s="1"/>
  <c r="N70" i="7"/>
  <c r="O70" i="7" s="1"/>
  <c r="N71" i="7"/>
  <c r="O71" i="7" s="1"/>
  <c r="N72" i="7"/>
  <c r="O72" i="7" s="1"/>
  <c r="N73" i="7"/>
  <c r="O73" i="7" s="1"/>
  <c r="N74" i="7"/>
  <c r="O74" i="7" s="1"/>
  <c r="N75" i="7"/>
  <c r="O75" i="7" s="1"/>
  <c r="N76" i="7"/>
  <c r="O76" i="7" s="1"/>
  <c r="N77" i="7"/>
  <c r="O77" i="7" s="1"/>
  <c r="N78" i="7"/>
  <c r="O78" i="7" s="1"/>
  <c r="N79" i="7"/>
  <c r="O79" i="7" s="1"/>
  <c r="N80" i="7"/>
  <c r="O80" i="7" s="1"/>
  <c r="N81" i="7"/>
  <c r="O81" i="7" s="1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F41" i="1" l="1"/>
  <c r="E6" i="10"/>
  <c r="L5" i="1" s="1"/>
  <c r="F5" i="1" s="1"/>
  <c r="K73" i="1"/>
  <c r="K100" i="1"/>
  <c r="K106" i="1"/>
  <c r="K103" i="1"/>
  <c r="K75" i="1"/>
  <c r="K25" i="1"/>
  <c r="K58" i="1"/>
  <c r="K10" i="1"/>
  <c r="K86" i="1"/>
  <c r="K76" i="1"/>
  <c r="F76" i="1" s="1"/>
  <c r="K40" i="1"/>
  <c r="K101" i="1"/>
  <c r="K98" i="1"/>
  <c r="K62" i="1"/>
  <c r="K38" i="1"/>
  <c r="K122" i="1"/>
  <c r="K51" i="1"/>
  <c r="K114" i="1"/>
  <c r="K120" i="1"/>
  <c r="K60" i="1"/>
  <c r="K35" i="1"/>
  <c r="K111" i="1"/>
  <c r="K67" i="1"/>
  <c r="K78" i="1"/>
  <c r="K33" i="1"/>
  <c r="K109" i="1"/>
  <c r="K71" i="1"/>
  <c r="K15" i="1"/>
  <c r="K96" i="1"/>
  <c r="K89" i="1"/>
  <c r="K56" i="1"/>
  <c r="K45" i="1"/>
  <c r="K39" i="1"/>
  <c r="K44" i="1"/>
  <c r="K102" i="1"/>
  <c r="K94" i="1"/>
  <c r="K52" i="1"/>
  <c r="K16" i="1"/>
  <c r="K105" i="1"/>
  <c r="K80" i="1"/>
  <c r="K83" i="1"/>
  <c r="K42" i="1"/>
  <c r="K9" i="1"/>
  <c r="E118" i="10"/>
  <c r="L22" i="1" s="1"/>
  <c r="F22" i="1" s="1"/>
  <c r="E117" i="10"/>
  <c r="L101" i="1" s="1"/>
  <c r="E50" i="10"/>
  <c r="L46" i="1" s="1"/>
  <c r="E62" i="10"/>
  <c r="L39" i="1" s="1"/>
  <c r="E55" i="10"/>
  <c r="L59" i="1" s="1"/>
  <c r="E14" i="10"/>
  <c r="L13" i="1" s="1"/>
  <c r="E60" i="10"/>
  <c r="L65" i="1" s="1"/>
  <c r="E18" i="10"/>
  <c r="L19" i="1" s="1"/>
  <c r="E97" i="10"/>
  <c r="L98" i="1" s="1"/>
  <c r="E72" i="10"/>
  <c r="L70" i="1" s="1"/>
  <c r="E38" i="10"/>
  <c r="L34" i="1" s="1"/>
  <c r="E103" i="10"/>
  <c r="L119" i="1" s="1"/>
  <c r="E5" i="10"/>
  <c r="L4" i="1" s="1"/>
  <c r="E7" i="10"/>
  <c r="L9" i="1" s="1"/>
  <c r="E93" i="10"/>
  <c r="L94" i="1" s="1"/>
  <c r="E102" i="10"/>
  <c r="L114" i="1" s="1"/>
  <c r="E119" i="10"/>
  <c r="L106" i="1" s="1"/>
  <c r="E4" i="10"/>
  <c r="L7" i="1" s="1"/>
  <c r="E94" i="10"/>
  <c r="L110" i="1" s="1"/>
  <c r="E21" i="10"/>
  <c r="L26" i="1" s="1"/>
  <c r="E101" i="10"/>
  <c r="L88" i="1" s="1"/>
  <c r="E48" i="10"/>
  <c r="L55" i="1" s="1"/>
  <c r="E98" i="10"/>
  <c r="L112" i="1" s="1"/>
  <c r="E46" i="10"/>
  <c r="L52" i="1" s="1"/>
  <c r="E27" i="10"/>
  <c r="L29" i="1" s="1"/>
  <c r="E15" i="10"/>
  <c r="L15" i="1" s="1"/>
  <c r="E76" i="10"/>
  <c r="L67" i="1" s="1"/>
  <c r="E56" i="10"/>
  <c r="L68" i="1" s="1"/>
  <c r="E116" i="10"/>
  <c r="L122" i="1" s="1"/>
  <c r="E115" i="10"/>
  <c r="L102" i="1" s="1"/>
  <c r="E10" i="10"/>
  <c r="L14" i="1" s="1"/>
  <c r="E16" i="10"/>
  <c r="L21" i="1" s="1"/>
  <c r="E30" i="10"/>
  <c r="L20" i="1" s="1"/>
  <c r="E45" i="10"/>
  <c r="L51" i="1" s="1"/>
  <c r="E88" i="10"/>
  <c r="L82" i="1" s="1"/>
  <c r="E96" i="10"/>
  <c r="L95" i="1" s="1"/>
  <c r="E42" i="10"/>
  <c r="L50" i="1" s="1"/>
  <c r="E32" i="10"/>
  <c r="L30" i="1" s="1"/>
  <c r="E34" i="10"/>
  <c r="L38" i="1" s="1"/>
  <c r="E23" i="10"/>
  <c r="L24" i="1" s="1"/>
  <c r="E85" i="10"/>
  <c r="L96" i="1" s="1"/>
  <c r="E120" i="10"/>
  <c r="L123" i="1" s="1"/>
  <c r="E113" i="10"/>
  <c r="L116" i="1" s="1"/>
  <c r="F116" i="1" s="1"/>
  <c r="E54" i="10"/>
  <c r="L48" i="1" s="1"/>
  <c r="E61" i="10"/>
  <c r="L66" i="1" s="1"/>
  <c r="E49" i="10"/>
  <c r="L49" i="1" s="1"/>
  <c r="E111" i="10"/>
  <c r="L113" i="1" s="1"/>
  <c r="E89" i="10"/>
  <c r="L89" i="1" s="1"/>
  <c r="E77" i="10"/>
  <c r="L78" i="1" s="1"/>
  <c r="E87" i="10"/>
  <c r="L85" i="1" s="1"/>
  <c r="E65" i="10"/>
  <c r="L63" i="1" s="1"/>
  <c r="E90" i="10"/>
  <c r="L99" i="1" s="1"/>
  <c r="E35" i="10"/>
  <c r="L31" i="1" s="1"/>
  <c r="E82" i="10"/>
  <c r="L100" i="1" s="1"/>
  <c r="E41" i="10"/>
  <c r="L44" i="1" s="1"/>
  <c r="E44" i="10"/>
  <c r="L42" i="1" s="1"/>
  <c r="E99" i="10"/>
  <c r="L93" i="1" s="1"/>
  <c r="E95" i="10"/>
  <c r="L90" i="1" s="1"/>
  <c r="E109" i="10"/>
  <c r="L107" i="1" s="1"/>
  <c r="E19" i="10"/>
  <c r="L16" i="1" s="1"/>
  <c r="E33" i="10"/>
  <c r="L36" i="1" s="1"/>
  <c r="E112" i="10"/>
  <c r="L109" i="1" s="1"/>
  <c r="E86" i="10"/>
  <c r="L105" i="1" s="1"/>
  <c r="E36" i="10"/>
  <c r="L40" i="1" s="1"/>
  <c r="E106" i="10"/>
  <c r="L117" i="1" s="1"/>
  <c r="E37" i="10"/>
  <c r="L33" i="1" s="1"/>
  <c r="E64" i="10"/>
  <c r="L54" i="1" s="1"/>
  <c r="E9" i="10"/>
  <c r="L6" i="1" s="1"/>
  <c r="E67" i="10"/>
  <c r="L71" i="1" s="1"/>
  <c r="E122" i="10"/>
  <c r="L111" i="1" s="1"/>
  <c r="E25" i="10"/>
  <c r="L23" i="1" s="1"/>
  <c r="E52" i="10"/>
  <c r="L62" i="1" s="1"/>
  <c r="E24" i="10"/>
  <c r="L32" i="1" s="1"/>
  <c r="F32" i="1" s="1"/>
  <c r="E79" i="10"/>
  <c r="L83" i="1" s="1"/>
  <c r="E29" i="10"/>
  <c r="L37" i="1" s="1"/>
  <c r="E84" i="10"/>
  <c r="L84" i="1" s="1"/>
  <c r="E26" i="10"/>
  <c r="L25" i="1" s="1"/>
  <c r="E59" i="10"/>
  <c r="L60" i="1" s="1"/>
  <c r="E92" i="10"/>
  <c r="L108" i="1" s="1"/>
  <c r="E68" i="10"/>
  <c r="L61" i="1" s="1"/>
  <c r="F61" i="1" s="1"/>
  <c r="E91" i="10"/>
  <c r="L91" i="1" s="1"/>
  <c r="E58" i="10"/>
  <c r="L69" i="1" s="1"/>
  <c r="E121" i="10"/>
  <c r="L115" i="1" s="1"/>
  <c r="E13" i="10"/>
  <c r="L12" i="1" s="1"/>
  <c r="E107" i="10"/>
  <c r="L118" i="1" s="1"/>
  <c r="E105" i="10"/>
  <c r="L86" i="1" s="1"/>
  <c r="E71" i="10"/>
  <c r="L64" i="1" s="1"/>
  <c r="E8" i="10"/>
  <c r="L11" i="1" s="1"/>
  <c r="E104" i="10"/>
  <c r="L103" i="1" s="1"/>
  <c r="E100" i="10"/>
  <c r="L92" i="1" s="1"/>
  <c r="E63" i="10"/>
  <c r="L74" i="1" s="1"/>
  <c r="E66" i="10"/>
  <c r="L72" i="1" s="1"/>
  <c r="F72" i="1" s="1"/>
  <c r="E83" i="10"/>
  <c r="L81" i="1" s="1"/>
  <c r="E57" i="10"/>
  <c r="L56" i="1" s="1"/>
  <c r="E22" i="10"/>
  <c r="L27" i="1" s="1"/>
  <c r="E75" i="10"/>
  <c r="L73" i="1" s="1"/>
  <c r="E110" i="10"/>
  <c r="L97" i="1" s="1"/>
  <c r="E20" i="10"/>
  <c r="L18" i="1" s="1"/>
  <c r="F18" i="1" s="1"/>
  <c r="E43" i="10"/>
  <c r="L45" i="1" s="1"/>
  <c r="E73" i="10"/>
  <c r="L79" i="1" s="1"/>
  <c r="E39" i="10"/>
  <c r="L43" i="1" s="1"/>
  <c r="E51" i="10"/>
  <c r="L57" i="1" s="1"/>
  <c r="E69" i="10"/>
  <c r="L53" i="1" s="1"/>
  <c r="E12" i="10"/>
  <c r="L10" i="1" s="1"/>
  <c r="E108" i="10"/>
  <c r="L104" i="1" s="1"/>
  <c r="E11" i="10"/>
  <c r="L8" i="1" s="1"/>
  <c r="E28" i="10"/>
  <c r="L28" i="1" s="1"/>
  <c r="E78" i="10"/>
  <c r="L80" i="1" s="1"/>
  <c r="E31" i="10"/>
  <c r="L35" i="1" s="1"/>
  <c r="E53" i="10"/>
  <c r="L58" i="1" s="1"/>
  <c r="E114" i="10"/>
  <c r="L121" i="1" s="1"/>
  <c r="J6" i="1"/>
  <c r="F6" i="1" s="1"/>
  <c r="J33" i="1"/>
  <c r="J4" i="1"/>
  <c r="F4" i="1" s="1"/>
  <c r="J59" i="1"/>
  <c r="F59" i="1" s="1"/>
  <c r="J39" i="1"/>
  <c r="J109" i="1"/>
  <c r="J20" i="1"/>
  <c r="F20" i="1" s="1"/>
  <c r="J96" i="1"/>
  <c r="J53" i="1"/>
  <c r="J56" i="1"/>
  <c r="J7" i="1"/>
  <c r="F7" i="1" s="1"/>
  <c r="J55" i="1"/>
  <c r="F55" i="1" s="1"/>
  <c r="J54" i="1"/>
  <c r="J78" i="1"/>
  <c r="F78" i="1" s="1"/>
  <c r="J16" i="1"/>
  <c r="J94" i="1"/>
  <c r="F94" i="1" s="1"/>
  <c r="J73" i="1"/>
  <c r="J11" i="1"/>
  <c r="F11" i="1" s="1"/>
  <c r="J101" i="1"/>
  <c r="F101" i="1" s="1"/>
  <c r="J29" i="1"/>
  <c r="F29" i="1" s="1"/>
  <c r="J118" i="1"/>
  <c r="J10" i="1"/>
  <c r="F10" i="1" s="1"/>
  <c r="J74" i="1"/>
  <c r="J8" i="1"/>
  <c r="J82" i="1"/>
  <c r="J14" i="1"/>
  <c r="J64" i="1"/>
  <c r="J51" i="1"/>
  <c r="J67" i="1"/>
  <c r="J19" i="1"/>
  <c r="F19" i="1" s="1"/>
  <c r="J63" i="1"/>
  <c r="J69" i="1"/>
  <c r="J13" i="1"/>
  <c r="J112" i="1"/>
  <c r="J71" i="1"/>
  <c r="J88" i="1"/>
  <c r="F88" i="1" s="1"/>
  <c r="J26" i="1"/>
  <c r="F26" i="1" s="1"/>
  <c r="J104" i="1"/>
  <c r="F104" i="1" s="1"/>
  <c r="J21" i="1"/>
  <c r="F21" i="1" s="1"/>
  <c r="J103" i="1"/>
  <c r="F103" i="1" s="1"/>
  <c r="J9" i="1"/>
  <c r="J90" i="1"/>
  <c r="J122" i="1"/>
  <c r="F122" i="1" s="1"/>
  <c r="J111" i="1"/>
  <c r="F111" i="1" s="1"/>
  <c r="J30" i="1"/>
  <c r="J107" i="1"/>
  <c r="J23" i="1"/>
  <c r="J62" i="1"/>
  <c r="J119" i="1"/>
  <c r="F119" i="1" s="1"/>
  <c r="J28" i="1"/>
  <c r="J80" i="1"/>
  <c r="J43" i="1"/>
  <c r="F43" i="1" s="1"/>
  <c r="J81" i="1"/>
  <c r="J42" i="1"/>
  <c r="J25" i="1"/>
  <c r="J79" i="1"/>
  <c r="F79" i="1" s="1"/>
  <c r="J12" i="1"/>
  <c r="F12" i="1" s="1"/>
  <c r="J99" i="1"/>
  <c r="F99" i="1" s="1"/>
  <c r="J27" i="1"/>
  <c r="J102" i="1"/>
  <c r="F102" i="1" s="1"/>
  <c r="J120" i="1"/>
  <c r="F120" i="1" s="1"/>
  <c r="J47" i="1"/>
  <c r="F47" i="1" s="1"/>
  <c r="J68" i="1"/>
  <c r="F68" i="1" s="1"/>
  <c r="J35" i="1"/>
  <c r="J97" i="1"/>
  <c r="J45" i="1"/>
  <c r="J95" i="1"/>
  <c r="F95" i="1" s="1"/>
  <c r="J83" i="1"/>
  <c r="J24" i="1"/>
  <c r="F24" i="1" s="1"/>
  <c r="J89" i="1"/>
  <c r="J70" i="1"/>
  <c r="J36" i="1"/>
  <c r="F36" i="1" s="1"/>
  <c r="J52" i="1"/>
  <c r="J85" i="1"/>
  <c r="J65" i="1"/>
  <c r="J17" i="1"/>
  <c r="F17" i="1" s="1"/>
  <c r="J87" i="1"/>
  <c r="F87" i="1" s="1"/>
  <c r="J58" i="1"/>
  <c r="J121" i="1"/>
  <c r="J31" i="1"/>
  <c r="F31" i="1" s="1"/>
  <c r="J114" i="1"/>
  <c r="J113" i="1"/>
  <c r="J46" i="1"/>
  <c r="J92" i="1"/>
  <c r="J100" i="1"/>
  <c r="J48" i="1"/>
  <c r="F48" i="1" s="1"/>
  <c r="J50" i="1"/>
  <c r="F50" i="1" s="1"/>
  <c r="J124" i="1"/>
  <c r="F124" i="1" s="1"/>
  <c r="J44" i="1"/>
  <c r="J98" i="1"/>
  <c r="J15" i="1"/>
  <c r="F15" i="1" s="1"/>
  <c r="J93" i="1"/>
  <c r="F93" i="1" s="1"/>
  <c r="J49" i="1"/>
  <c r="J123" i="1"/>
  <c r="J66" i="1"/>
  <c r="F66" i="1" s="1"/>
  <c r="J106" i="1"/>
  <c r="F106" i="1" s="1"/>
  <c r="J60" i="1"/>
  <c r="J108" i="1"/>
  <c r="J105" i="1"/>
  <c r="J84" i="1"/>
  <c r="F84" i="1" s="1"/>
  <c r="J37" i="1"/>
  <c r="J34" i="1"/>
  <c r="J110" i="1"/>
  <c r="J38" i="1"/>
  <c r="F38" i="1" s="1"/>
  <c r="J91" i="1"/>
  <c r="F91" i="1" s="1"/>
  <c r="J57" i="1"/>
  <c r="J77" i="1"/>
  <c r="F77" i="1" s="1"/>
  <c r="J117" i="1"/>
  <c r="F117" i="1" s="1"/>
  <c r="J75" i="1"/>
  <c r="J115" i="1"/>
  <c r="O2" i="8"/>
  <c r="O3" i="7"/>
  <c r="O2" i="7"/>
  <c r="F57" i="1" l="1"/>
  <c r="F58" i="1"/>
  <c r="F60" i="1"/>
  <c r="F49" i="1"/>
  <c r="F30" i="1"/>
  <c r="F9" i="1"/>
  <c r="F13" i="1"/>
  <c r="F73" i="1"/>
  <c r="F39" i="1"/>
  <c r="F80" i="1"/>
  <c r="F71" i="1"/>
  <c r="F42" i="1"/>
  <c r="F109" i="1"/>
  <c r="F105" i="1"/>
  <c r="F65" i="1"/>
  <c r="F27" i="1"/>
  <c r="F23" i="1"/>
  <c r="F64" i="1"/>
  <c r="F108" i="1"/>
  <c r="F113" i="1"/>
  <c r="F112" i="1"/>
  <c r="F14" i="1"/>
  <c r="F44" i="1"/>
  <c r="F100" i="1"/>
  <c r="F114" i="1"/>
  <c r="F81" i="1"/>
  <c r="F118" i="1"/>
  <c r="F92" i="1"/>
  <c r="F83" i="1"/>
  <c r="F51" i="1"/>
  <c r="F56" i="1"/>
  <c r="F97" i="1"/>
  <c r="F98" i="1"/>
  <c r="F85" i="1"/>
  <c r="F45" i="1"/>
  <c r="F28" i="1"/>
  <c r="F90" i="1"/>
  <c r="F33" i="1"/>
  <c r="F52" i="1"/>
  <c r="F82" i="1"/>
  <c r="F53" i="1"/>
  <c r="F62" i="1"/>
  <c r="F96" i="1"/>
  <c r="F35" i="1"/>
  <c r="F69" i="1"/>
  <c r="F110" i="1"/>
  <c r="F121" i="1"/>
  <c r="F70" i="1"/>
  <c r="F25" i="1"/>
  <c r="F63" i="1"/>
  <c r="F74" i="1"/>
  <c r="F16" i="1"/>
  <c r="F115" i="1"/>
  <c r="F34" i="1"/>
  <c r="F89" i="1"/>
  <c r="F107" i="1"/>
  <c r="F46" i="1"/>
  <c r="F8" i="1"/>
  <c r="F123" i="1"/>
  <c r="F75" i="1"/>
  <c r="F37" i="1"/>
  <c r="F67" i="1"/>
  <c r="F54" i="1"/>
  <c r="F40" i="1"/>
  <c r="F86" i="1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P2" i="6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N2" i="6"/>
  <c r="N3" i="6"/>
  <c r="O3" i="6" s="1"/>
  <c r="N4" i="6"/>
  <c r="O4" i="6" s="1"/>
  <c r="N5" i="6"/>
  <c r="O5" i="6" s="1"/>
  <c r="N6" i="6"/>
  <c r="O6" i="6" s="1"/>
  <c r="N7" i="6"/>
  <c r="O7" i="6" s="1"/>
  <c r="N8" i="6"/>
  <c r="O8" i="6" s="1"/>
  <c r="N9" i="6"/>
  <c r="O9" i="6" s="1"/>
  <c r="N10" i="6"/>
  <c r="O10" i="6" s="1"/>
  <c r="N11" i="6"/>
  <c r="O11" i="6" s="1"/>
  <c r="N12" i="6"/>
  <c r="O12" i="6" s="1"/>
  <c r="N13" i="6"/>
  <c r="O13" i="6" s="1"/>
  <c r="N14" i="6"/>
  <c r="O14" i="6" s="1"/>
  <c r="N15" i="6"/>
  <c r="O15" i="6" s="1"/>
  <c r="N16" i="6"/>
  <c r="O16" i="6" s="1"/>
  <c r="N17" i="6"/>
  <c r="O17" i="6" s="1"/>
  <c r="N18" i="6"/>
  <c r="O18" i="6" s="1"/>
  <c r="N19" i="6"/>
  <c r="O19" i="6" s="1"/>
  <c r="N20" i="6"/>
  <c r="O20" i="6" s="1"/>
  <c r="N21" i="6"/>
  <c r="O21" i="6" s="1"/>
  <c r="N22" i="6"/>
  <c r="O22" i="6" s="1"/>
  <c r="N23" i="6"/>
  <c r="O23" i="6" s="1"/>
  <c r="N24" i="6"/>
  <c r="O24" i="6" s="1"/>
  <c r="N25" i="6"/>
  <c r="O25" i="6" s="1"/>
  <c r="N26" i="6"/>
  <c r="O26" i="6" s="1"/>
  <c r="N27" i="6"/>
  <c r="O27" i="6" s="1"/>
  <c r="N28" i="6"/>
  <c r="O28" i="6" s="1"/>
  <c r="N29" i="6"/>
  <c r="O29" i="6" s="1"/>
  <c r="N30" i="6"/>
  <c r="O30" i="6" s="1"/>
  <c r="N31" i="6"/>
  <c r="O31" i="6" s="1"/>
  <c r="N32" i="6"/>
  <c r="O32" i="6" s="1"/>
  <c r="N33" i="6"/>
  <c r="O33" i="6" s="1"/>
  <c r="N34" i="6"/>
  <c r="O34" i="6" s="1"/>
  <c r="N35" i="6"/>
  <c r="O35" i="6" s="1"/>
  <c r="N36" i="6"/>
  <c r="O36" i="6" s="1"/>
  <c r="N37" i="6"/>
  <c r="O37" i="6" s="1"/>
  <c r="N38" i="6"/>
  <c r="O38" i="6" s="1"/>
  <c r="N39" i="6"/>
  <c r="O39" i="6" s="1"/>
  <c r="N40" i="6"/>
  <c r="O40" i="6" s="1"/>
  <c r="N41" i="6"/>
  <c r="O41" i="6" s="1"/>
  <c r="N42" i="6"/>
  <c r="O42" i="6" s="1"/>
  <c r="N43" i="6"/>
  <c r="O43" i="6" s="1"/>
  <c r="N44" i="6"/>
  <c r="O44" i="6" s="1"/>
  <c r="N45" i="6"/>
  <c r="O45" i="6" s="1"/>
  <c r="N46" i="6"/>
  <c r="O46" i="6" s="1"/>
  <c r="N47" i="6"/>
  <c r="O47" i="6" s="1"/>
  <c r="N48" i="6"/>
  <c r="O48" i="6" s="1"/>
  <c r="N49" i="6"/>
  <c r="O49" i="6" s="1"/>
  <c r="N50" i="6"/>
  <c r="O50" i="6" s="1"/>
  <c r="N51" i="6"/>
  <c r="O51" i="6" s="1"/>
  <c r="N52" i="6"/>
  <c r="O52" i="6" s="1"/>
  <c r="N53" i="6"/>
  <c r="O53" i="6" s="1"/>
  <c r="N54" i="6"/>
  <c r="O54" i="6" s="1"/>
  <c r="N55" i="6"/>
  <c r="O55" i="6" s="1"/>
  <c r="N56" i="6"/>
  <c r="O56" i="6" s="1"/>
  <c r="N57" i="6"/>
  <c r="O57" i="6" s="1"/>
  <c r="N58" i="6"/>
  <c r="O58" i="6" s="1"/>
  <c r="N59" i="6"/>
  <c r="O59" i="6" s="1"/>
  <c r="N60" i="6"/>
  <c r="O60" i="6" s="1"/>
  <c r="N61" i="6"/>
  <c r="O61" i="6" s="1"/>
  <c r="N62" i="6"/>
  <c r="O62" i="6" s="1"/>
  <c r="N63" i="6"/>
  <c r="O63" i="6" s="1"/>
  <c r="N64" i="6"/>
  <c r="O64" i="6" s="1"/>
  <c r="N65" i="6"/>
  <c r="O65" i="6" s="1"/>
  <c r="N66" i="6"/>
  <c r="O66" i="6" s="1"/>
  <c r="N67" i="6"/>
  <c r="O67" i="6" s="1"/>
  <c r="N68" i="6"/>
  <c r="O68" i="6" s="1"/>
  <c r="N69" i="6"/>
  <c r="O69" i="6" s="1"/>
  <c r="N70" i="6"/>
  <c r="O70" i="6" s="1"/>
  <c r="N71" i="6"/>
  <c r="O71" i="6" s="1"/>
  <c r="N72" i="6"/>
  <c r="O72" i="6" s="1"/>
  <c r="N73" i="6"/>
  <c r="O73" i="6" s="1"/>
  <c r="N74" i="6"/>
  <c r="O74" i="6" s="1"/>
  <c r="N75" i="6"/>
  <c r="O75" i="6" s="1"/>
  <c r="N76" i="6"/>
  <c r="O76" i="6" s="1"/>
  <c r="N77" i="6"/>
  <c r="O77" i="6" s="1"/>
  <c r="N78" i="6"/>
  <c r="O78" i="6" s="1"/>
  <c r="N79" i="6"/>
  <c r="O79" i="6" s="1"/>
  <c r="N80" i="6"/>
  <c r="O80" i="6" s="1"/>
  <c r="N81" i="6"/>
  <c r="O81" i="6" s="1"/>
  <c r="N82" i="6"/>
  <c r="O82" i="6" s="1"/>
  <c r="N83" i="6"/>
  <c r="O83" i="6" s="1"/>
  <c r="N84" i="6"/>
  <c r="O84" i="6" s="1"/>
  <c r="N85" i="6"/>
  <c r="O85" i="6" s="1"/>
  <c r="N86" i="6"/>
  <c r="O86" i="6" s="1"/>
  <c r="N87" i="6"/>
  <c r="O87" i="6" s="1"/>
  <c r="N88" i="6"/>
  <c r="O88" i="6" s="1"/>
  <c r="N89" i="6"/>
  <c r="O89" i="6" s="1"/>
  <c r="N90" i="6"/>
  <c r="O90" i="6" s="1"/>
  <c r="N91" i="6"/>
  <c r="O91" i="6" s="1"/>
  <c r="N92" i="6"/>
  <c r="O92" i="6" s="1"/>
  <c r="N93" i="6"/>
  <c r="O93" i="6" s="1"/>
  <c r="N94" i="6"/>
  <c r="O94" i="6" s="1"/>
  <c r="N95" i="6"/>
  <c r="O95" i="6" s="1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O2" i="6" l="1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P2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N2" i="5"/>
  <c r="N3" i="5"/>
  <c r="O3" i="5" s="1"/>
  <c r="N4" i="5"/>
  <c r="O4" i="5" s="1"/>
  <c r="N5" i="5"/>
  <c r="O5" i="5" s="1"/>
  <c r="N6" i="5"/>
  <c r="O6" i="5" s="1"/>
  <c r="N7" i="5"/>
  <c r="O7" i="5" s="1"/>
  <c r="N8" i="5"/>
  <c r="O8" i="5" s="1"/>
  <c r="N9" i="5"/>
  <c r="O9" i="5" s="1"/>
  <c r="N10" i="5"/>
  <c r="O10" i="5" s="1"/>
  <c r="N11" i="5"/>
  <c r="O11" i="5" s="1"/>
  <c r="N12" i="5"/>
  <c r="O12" i="5" s="1"/>
  <c r="N13" i="5"/>
  <c r="O13" i="5" s="1"/>
  <c r="N14" i="5"/>
  <c r="O14" i="5" s="1"/>
  <c r="N15" i="5"/>
  <c r="O15" i="5" s="1"/>
  <c r="N16" i="5"/>
  <c r="O16" i="5" s="1"/>
  <c r="N17" i="5"/>
  <c r="O17" i="5" s="1"/>
  <c r="N18" i="5"/>
  <c r="O18" i="5" s="1"/>
  <c r="N19" i="5"/>
  <c r="O19" i="5" s="1"/>
  <c r="N20" i="5"/>
  <c r="O20" i="5" s="1"/>
  <c r="N21" i="5"/>
  <c r="O21" i="5" s="1"/>
  <c r="N22" i="5"/>
  <c r="O22" i="5" s="1"/>
  <c r="N23" i="5"/>
  <c r="O23" i="5" s="1"/>
  <c r="N24" i="5"/>
  <c r="O24" i="5" s="1"/>
  <c r="N25" i="5"/>
  <c r="O25" i="5" s="1"/>
  <c r="N26" i="5"/>
  <c r="O26" i="5" s="1"/>
  <c r="N27" i="5"/>
  <c r="O27" i="5" s="1"/>
  <c r="N28" i="5"/>
  <c r="O28" i="5" s="1"/>
  <c r="N29" i="5"/>
  <c r="O29" i="5" s="1"/>
  <c r="N30" i="5"/>
  <c r="O30" i="5" s="1"/>
  <c r="N31" i="5"/>
  <c r="O31" i="5" s="1"/>
  <c r="N32" i="5"/>
  <c r="O32" i="5" s="1"/>
  <c r="N33" i="5"/>
  <c r="O33" i="5" s="1"/>
  <c r="N34" i="5"/>
  <c r="O34" i="5" s="1"/>
  <c r="N35" i="5"/>
  <c r="O35" i="5" s="1"/>
  <c r="N36" i="5"/>
  <c r="O36" i="5" s="1"/>
  <c r="N37" i="5"/>
  <c r="O37" i="5" s="1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O2" i="5" l="1"/>
</calcChain>
</file>

<file path=xl/connections.xml><?xml version="1.0" encoding="utf-8"?>
<connections xmlns="http://schemas.openxmlformats.org/spreadsheetml/2006/main">
  <connection id="1" keepAlive="1" name="Query - NAT180117" description="Connection to the 'NAT180117' query in the workbook." type="5" refreshedVersion="6" background="1" saveData="1">
    <dbPr connection="Provider=Microsoft.Mashup.OleDb.1;Data Source=$Workbook$;Location=NAT180117;Extended Properties=&quot;&quot;" command="SELECT * FROM [NAT180117]"/>
  </connection>
  <connection id="2" keepAlive="1" name="Query - NAT180118" description="Connection to the 'NAT180118' query in the workbook." type="5" refreshedVersion="6" background="1">
    <dbPr connection="Provider=Microsoft.Mashup.OleDb.1;Data Source=$Workbook$;Location=NAT180118;Extended Properties=&quot;&quot;" command="SELECT * FROM [NAT180118]"/>
  </connection>
  <connection id="3" keepAlive="1" name="Query - NAT180119" description="Connection to the 'NAT180119' query in the workbook." type="5" refreshedVersion="6" background="1">
    <dbPr connection="Provider=Microsoft.Mashup.OleDb.1;Data Source=$Workbook$;Location=NAT180119;Extended Properties=&quot;&quot;" command="SELECT * FROM [NAT180119]"/>
  </connection>
  <connection id="4" keepAlive="1" name="Query - NAT180120" description="Connection to the 'NAT180120' query in the workbook." type="5" refreshedVersion="6" background="1">
    <dbPr connection="Provider=Microsoft.Mashup.OleDb.1;Data Source=$Workbook$;Location=NAT180120;Extended Properties=&quot;&quot;" command="SELECT * FROM [NAT180120]"/>
  </connection>
  <connection id="5" keepAlive="1" name="Query - NAT180121" description="Connection to the 'NAT180121' query in the workbook." type="5" refreshedVersion="6" background="1">
    <dbPr connection="Provider=Microsoft.Mashup.OleDb.1;Data Source=$Workbook$;Location=NAT180121;Extended Properties=&quot;&quot;" command="SELECT * FROM [NAT180121]"/>
  </connection>
  <connection id="6" keepAlive="1" name="Query - NAT180122" description="Connection to the 'NAT180122' query in the workbook." type="5" refreshedVersion="6" background="1" saveData="1">
    <dbPr connection="Provider=Microsoft.Mashup.OleDb.1;Data Source=$Workbook$;Location=NAT180122;Extended Properties=&quot;&quot;" command="SELECT * FROM [NAT180122]"/>
  </connection>
  <connection id="7" keepAlive="1" name="Query - NAT180123" description="Connection to the 'NAT180123' query in the workbook." type="5" refreshedVersion="0" background="1">
    <dbPr connection="Provider=Microsoft.Mashup.OleDb.1;Data Source=$Workbook$;Location=NAT180123;Extended Properties=&quot;&quot;" command="SELECT * FROM [NAT180123]"/>
  </connection>
  <connection id="8" keepAlive="1" name="Query - NAT180124" description="Connection to the 'NAT180124' query in the workbook." type="5" refreshedVersion="6" background="1" saveData="1">
    <dbPr connection="Provider=Microsoft.Mashup.OleDb.1;Data Source=$Workbook$;Location=NAT180124;Extended Properties=&quot;&quot;" command="SELECT * FROM [NAT180124]"/>
  </connection>
  <connection id="9" keepAlive="1" name="Query - NAT180125" description="Connection to the 'NAT180125' query in the workbook." type="5" refreshedVersion="6" background="1">
    <dbPr connection="Provider=Microsoft.Mashup.OleDb.1;Data Source=$Workbook$;Location=NAT180125;Extended Properties=&quot;&quot;" command="SELECT * FROM [NAT180125]"/>
  </connection>
  <connection id="10" keepAlive="1" name="Query - NAT180140" description="Connection to the 'NAT180140' query in the workbook." type="5" refreshedVersion="6" background="1">
    <dbPr connection="Provider=Microsoft.Mashup.OleDb.1;Data Source=$Workbook$;Location=NAT180140;Extended Properties=&quot;&quot;" command="SELECT * FROM [NAT180140]"/>
  </connection>
</connections>
</file>

<file path=xl/sharedStrings.xml><?xml version="1.0" encoding="utf-8"?>
<sst xmlns="http://schemas.openxmlformats.org/spreadsheetml/2006/main" count="5881" uniqueCount="886">
  <si>
    <t>Points Table</t>
  </si>
  <si>
    <t>Position</t>
  </si>
  <si>
    <t>Points</t>
  </si>
  <si>
    <t>Card</t>
  </si>
  <si>
    <t>Name</t>
  </si>
  <si>
    <t>Club</t>
  </si>
  <si>
    <t>Total</t>
  </si>
  <si>
    <t>YOB</t>
  </si>
  <si>
    <t>Rank</t>
  </si>
  <si>
    <t>Bib</t>
  </si>
  <si>
    <t>Category</t>
  </si>
  <si>
    <t>1st Run</t>
  </si>
  <si>
    <t>2nd run</t>
  </si>
  <si>
    <t>Total Time</t>
  </si>
  <si>
    <t>MURPHY Max</t>
  </si>
  <si>
    <t>CRAIG</t>
  </si>
  <si>
    <t>U14</t>
  </si>
  <si>
    <t>49.23</t>
  </si>
  <si>
    <t>KISS Tanner</t>
  </si>
  <si>
    <t>ALPIN</t>
  </si>
  <si>
    <t>49.34</t>
  </si>
  <si>
    <t>DAVIDSON Jacob</t>
  </si>
  <si>
    <t>GEORG</t>
  </si>
  <si>
    <t>49.36</t>
  </si>
  <si>
    <t>ARMSTRONG Duncan</t>
  </si>
  <si>
    <t>49.37</t>
  </si>
  <si>
    <t>FOOTE Jacob</t>
  </si>
  <si>
    <t>49.54</t>
  </si>
  <si>
    <t>PILLA Nicholas</t>
  </si>
  <si>
    <t>50.05</t>
  </si>
  <si>
    <t>RODRIGUES Andrew</t>
  </si>
  <si>
    <t>DEVGL</t>
  </si>
  <si>
    <t>50.11</t>
  </si>
  <si>
    <t>MOJSIAK Julian</t>
  </si>
  <si>
    <t>50.13</t>
  </si>
  <si>
    <t>STRYJNIK Tristan</t>
  </si>
  <si>
    <t>50.15</t>
  </si>
  <si>
    <t>BARBOUR Adam</t>
  </si>
  <si>
    <t>HEIGH</t>
  </si>
  <si>
    <t>50.20</t>
  </si>
  <si>
    <t>WEINGUST Ben</t>
  </si>
  <si>
    <t>JOHNSTON Sage</t>
  </si>
  <si>
    <t>GLA</t>
  </si>
  <si>
    <t>50.24</t>
  </si>
  <si>
    <t>HUNTER Jack</t>
  </si>
  <si>
    <t>50.25</t>
  </si>
  <si>
    <t>GILLIES Jack</t>
  </si>
  <si>
    <t>MSFLD</t>
  </si>
  <si>
    <t>50.36</t>
  </si>
  <si>
    <t>BARTHOLOMEW Colton</t>
  </si>
  <si>
    <t>50.62</t>
  </si>
  <si>
    <t>YOUNG Taiga</t>
  </si>
  <si>
    <t>50.66</t>
  </si>
  <si>
    <t>BUCKRELL Jayden</t>
  </si>
  <si>
    <t>OSLER</t>
  </si>
  <si>
    <t>50.76</t>
  </si>
  <si>
    <t>CAVERS Dax</t>
  </si>
  <si>
    <t>50.77</t>
  </si>
  <si>
    <t>VISSER Christian</t>
  </si>
  <si>
    <t>50.82</t>
  </si>
  <si>
    <t>HAYES Calum</t>
  </si>
  <si>
    <t>TSCBM</t>
  </si>
  <si>
    <t>50.93</t>
  </si>
  <si>
    <t>JENKINS Hayden</t>
  </si>
  <si>
    <t>50.95</t>
  </si>
  <si>
    <t>FARNSWORTH Owen</t>
  </si>
  <si>
    <t>51.17</t>
  </si>
  <si>
    <t>THOMPSON Breydon</t>
  </si>
  <si>
    <t>ROCKANDEL Jake</t>
  </si>
  <si>
    <t>51.20</t>
  </si>
  <si>
    <t>BRACKETT John</t>
  </si>
  <si>
    <t>51.64</t>
  </si>
  <si>
    <t>SMITH Trevor</t>
  </si>
  <si>
    <t>51.67</t>
  </si>
  <si>
    <t>WALKER Ben</t>
  </si>
  <si>
    <t>51.85</t>
  </si>
  <si>
    <t>NEWALL Andrew</t>
  </si>
  <si>
    <t>51.87</t>
  </si>
  <si>
    <t>DEEKS Russell</t>
  </si>
  <si>
    <t>51.90</t>
  </si>
  <si>
    <t>MACKAY Thomas</t>
  </si>
  <si>
    <t>51.91</t>
  </si>
  <si>
    <t>SLOAN Maxwell</t>
  </si>
  <si>
    <t>51.96</t>
  </si>
  <si>
    <t>WILLIAMS Declin</t>
  </si>
  <si>
    <t>51.97</t>
  </si>
  <si>
    <t>JACOBS-GAMBLE Riley</t>
  </si>
  <si>
    <t>52.15</t>
  </si>
  <si>
    <t>METCALFE Ryder</t>
  </si>
  <si>
    <t>52.22</t>
  </si>
  <si>
    <t>ROBSON William</t>
  </si>
  <si>
    <t>52.28</t>
  </si>
  <si>
    <t>INGLIS Theron</t>
  </si>
  <si>
    <t>52.76</t>
  </si>
  <si>
    <t>FURSE Benjamin</t>
  </si>
  <si>
    <t>52.84</t>
  </si>
  <si>
    <t>PATERSON John Drake (Jack)</t>
  </si>
  <si>
    <t>52.85</t>
  </si>
  <si>
    <t>LUXTON Jack</t>
  </si>
  <si>
    <t>53.02</t>
  </si>
  <si>
    <t>BONAFEDE Alejandro</t>
  </si>
  <si>
    <t>CALDN</t>
  </si>
  <si>
    <t>53.19</t>
  </si>
  <si>
    <t>MOORE Logan</t>
  </si>
  <si>
    <t>53.24</t>
  </si>
  <si>
    <t>LEONE Beau</t>
  </si>
  <si>
    <t>53.29</t>
  </si>
  <si>
    <t>WRIGHT Leighton</t>
  </si>
  <si>
    <t>53.30</t>
  </si>
  <si>
    <t>SHARP Evan</t>
  </si>
  <si>
    <t>53.31</t>
  </si>
  <si>
    <t>DREANY Colin</t>
  </si>
  <si>
    <t>NBAY</t>
  </si>
  <si>
    <t>53.42</t>
  </si>
  <si>
    <t>CARTER Evan</t>
  </si>
  <si>
    <t>53.51</t>
  </si>
  <si>
    <t>BREMERMANN Thomas</t>
  </si>
  <si>
    <t>BEAVR</t>
  </si>
  <si>
    <t>53.52</t>
  </si>
  <si>
    <t>ARMSTRONG Jakub</t>
  </si>
  <si>
    <t>53.75</t>
  </si>
  <si>
    <t>WELSH Graham</t>
  </si>
  <si>
    <t>53.93</t>
  </si>
  <si>
    <t>GREEN Joshua</t>
  </si>
  <si>
    <t>54.01</t>
  </si>
  <si>
    <t>SHEEHAN Aedan</t>
  </si>
  <si>
    <t>54.02</t>
  </si>
  <si>
    <t>CAMPBELL Jack</t>
  </si>
  <si>
    <t>54.06</t>
  </si>
  <si>
    <t>ARMSTRONG Filip</t>
  </si>
  <si>
    <t>54.16</t>
  </si>
  <si>
    <t>ROWNTREE Thomas</t>
  </si>
  <si>
    <t>54.20</t>
  </si>
  <si>
    <t>VELJOVIC Matia</t>
  </si>
  <si>
    <t>54.26</t>
  </si>
  <si>
    <t>SADDINGTON John (Jack)</t>
  </si>
  <si>
    <t>54.29</t>
  </si>
  <si>
    <t>JENNINGS Craig</t>
  </si>
  <si>
    <t>HYNES Jack</t>
  </si>
  <si>
    <t>54.34</t>
  </si>
  <si>
    <t>SHIPTON Carter</t>
  </si>
  <si>
    <t>54.41</t>
  </si>
  <si>
    <t>HUANG Kai</t>
  </si>
  <si>
    <t>54.45</t>
  </si>
  <si>
    <t>VLAAD Dylan</t>
  </si>
  <si>
    <t>54.46</t>
  </si>
  <si>
    <t>ACTON Sydney</t>
  </si>
  <si>
    <t>54.52</t>
  </si>
  <si>
    <t>FILIATRAULT James</t>
  </si>
  <si>
    <t>54.88</t>
  </si>
  <si>
    <t>TAYLOR Quinn</t>
  </si>
  <si>
    <t>55.03</t>
  </si>
  <si>
    <t>DONER Warren</t>
  </si>
  <si>
    <t>55.19</t>
  </si>
  <si>
    <t>HYLAND Tate</t>
  </si>
  <si>
    <t>JOZOW</t>
  </si>
  <si>
    <t>CHISHOLM Andrew</t>
  </si>
  <si>
    <t>55.24</t>
  </si>
  <si>
    <t>MOORE Liam</t>
  </si>
  <si>
    <t>55.36</t>
  </si>
  <si>
    <t>CORBETT Jordan</t>
  </si>
  <si>
    <t>55.52</t>
  </si>
  <si>
    <t>NYCZ Camron</t>
  </si>
  <si>
    <t>TIMM</t>
  </si>
  <si>
    <t>55.75</t>
  </si>
  <si>
    <t>CARRUTHERS William</t>
  </si>
  <si>
    <t>55.81</t>
  </si>
  <si>
    <t>NEWSON Kyle</t>
  </si>
  <si>
    <t>55.84</t>
  </si>
  <si>
    <t>OSBORNE Christopher</t>
  </si>
  <si>
    <t>55.85</t>
  </si>
  <si>
    <t>BROWN Parker</t>
  </si>
  <si>
    <t>56.18</t>
  </si>
  <si>
    <t>MATIC Alexander</t>
  </si>
  <si>
    <t>56.28</t>
  </si>
  <si>
    <t>ROSSBAUM Benjamin</t>
  </si>
  <si>
    <t>56.48</t>
  </si>
  <si>
    <t>WHITE Nolan</t>
  </si>
  <si>
    <t>56.68</t>
  </si>
  <si>
    <t>INGLE Evan</t>
  </si>
  <si>
    <t>56.77</t>
  </si>
  <si>
    <t>WILSON Max</t>
  </si>
  <si>
    <t>TOTH Matthew</t>
  </si>
  <si>
    <t>56.78</t>
  </si>
  <si>
    <t>DOWD Colin</t>
  </si>
  <si>
    <t>57.29</t>
  </si>
  <si>
    <t>LARAWAY Evan</t>
  </si>
  <si>
    <t>57.40</t>
  </si>
  <si>
    <t>WISEMAN Alexander</t>
  </si>
  <si>
    <t>57.47</t>
  </si>
  <si>
    <t>LAMBERT Hayden</t>
  </si>
  <si>
    <t>VANDESANDE Samuel</t>
  </si>
  <si>
    <t>SMITH Matthew</t>
  </si>
  <si>
    <t>57.68</t>
  </si>
  <si>
    <t>HOOLE Benjamin</t>
  </si>
  <si>
    <t>57.88</t>
  </si>
  <si>
    <t>SANTOMERO John</t>
  </si>
  <si>
    <t>58.43</t>
  </si>
  <si>
    <t>MCLEAN Oliver</t>
  </si>
  <si>
    <t>59.33</t>
  </si>
  <si>
    <t>JUDGE Rowan</t>
  </si>
  <si>
    <t>59.54</t>
  </si>
  <si>
    <t>CVETKOVIC Bogdan</t>
  </si>
  <si>
    <t>59.56</t>
  </si>
  <si>
    <t>KIM Micah</t>
  </si>
  <si>
    <t>1:00.78</t>
  </si>
  <si>
    <t>MATTHEWS Caden</t>
  </si>
  <si>
    <t>1:01.62</t>
  </si>
  <si>
    <t>MACINNIS Nathan</t>
  </si>
  <si>
    <t>1:02.42</t>
  </si>
  <si>
    <t>MCKELLAR Ross</t>
  </si>
  <si>
    <t>1:02.89</t>
  </si>
  <si>
    <t>HO Kieran</t>
  </si>
  <si>
    <t>1:08.66</t>
  </si>
  <si>
    <t>LUCA Alexander</t>
  </si>
  <si>
    <t>DNS</t>
  </si>
  <si>
    <t>STRAIN Jamieson</t>
  </si>
  <si>
    <t>ORR Jack</t>
  </si>
  <si>
    <t>O'REILLY John</t>
  </si>
  <si>
    <t>BASSIN Matthew</t>
  </si>
  <si>
    <t>DNF</t>
  </si>
  <si>
    <t>TRICKEY Aiden</t>
  </si>
  <si>
    <t>TODD Jase</t>
  </si>
  <si>
    <t>SHLESINGER Owen</t>
  </si>
  <si>
    <t>SEDGWICK Dax</t>
  </si>
  <si>
    <t>GUY Charlie</t>
  </si>
  <si>
    <t>In List</t>
  </si>
  <si>
    <t>25.01 SG</t>
  </si>
  <si>
    <t>POS</t>
  </si>
  <si>
    <t>PTS</t>
  </si>
  <si>
    <t>1:26.50</t>
  </si>
  <si>
    <t>1:26.79</t>
  </si>
  <si>
    <t>1:27.00</t>
  </si>
  <si>
    <t>1:27.14</t>
  </si>
  <si>
    <t>1:27.34</t>
  </si>
  <si>
    <t>1:28.26</t>
  </si>
  <si>
    <t>1:28.27</t>
  </si>
  <si>
    <t>1:28.82</t>
  </si>
  <si>
    <t>1:28.86</t>
  </si>
  <si>
    <t>1:29.39</t>
  </si>
  <si>
    <t>1:29.44</t>
  </si>
  <si>
    <t>1:29.51</t>
  </si>
  <si>
    <t>1:29.63</t>
  </si>
  <si>
    <t>1:29.77</t>
  </si>
  <si>
    <t>1:29.91</t>
  </si>
  <si>
    <t>1:29.94</t>
  </si>
  <si>
    <t>1:30.04</t>
  </si>
  <si>
    <t>1:30.20</t>
  </si>
  <si>
    <t>1:30.48</t>
  </si>
  <si>
    <t>1:30.58</t>
  </si>
  <si>
    <t>1:30.82</t>
  </si>
  <si>
    <t>1:30.98</t>
  </si>
  <si>
    <t>1:31.31</t>
  </si>
  <si>
    <t>1:31.64</t>
  </si>
  <si>
    <t>1:31.82</t>
  </si>
  <si>
    <t>1:32.01</t>
  </si>
  <si>
    <t>1:32.04</t>
  </si>
  <si>
    <t>1:32.47</t>
  </si>
  <si>
    <t>1:32.85</t>
  </si>
  <si>
    <t>1:33.36</t>
  </si>
  <si>
    <t>1:33.38</t>
  </si>
  <si>
    <t>1:33.67</t>
  </si>
  <si>
    <t>1:33.77</t>
  </si>
  <si>
    <t>1:33.80</t>
  </si>
  <si>
    <t>1:34.07</t>
  </si>
  <si>
    <t>1:34.08</t>
  </si>
  <si>
    <t>1:34.17</t>
  </si>
  <si>
    <t>1:34.62</t>
  </si>
  <si>
    <t>1:35.01</t>
  </si>
  <si>
    <t>1:35.27</t>
  </si>
  <si>
    <t>1:35.63</t>
  </si>
  <si>
    <t>1:35.94</t>
  </si>
  <si>
    <t>1:36.01</t>
  </si>
  <si>
    <t>1:36.20</t>
  </si>
  <si>
    <t>1:36.30</t>
  </si>
  <si>
    <t>1:36.39</t>
  </si>
  <si>
    <t>1:36.44</t>
  </si>
  <si>
    <t>1:36.64</t>
  </si>
  <si>
    <t>1:36.76</t>
  </si>
  <si>
    <t>1:36.78</t>
  </si>
  <si>
    <t>1:37.18</t>
  </si>
  <si>
    <t>1:37.76</t>
  </si>
  <si>
    <t>1:37.95</t>
  </si>
  <si>
    <t>1:38.02</t>
  </si>
  <si>
    <t>MOSHOIAN Matthew</t>
  </si>
  <si>
    <t>1:38.15</t>
  </si>
  <si>
    <t>1:38.23</t>
  </si>
  <si>
    <t>1:38.31</t>
  </si>
  <si>
    <t>1:38.50</t>
  </si>
  <si>
    <t>1:38.55</t>
  </si>
  <si>
    <t>1:38.82</t>
  </si>
  <si>
    <t>1:39.32</t>
  </si>
  <si>
    <t>GOTTLIEB Koby</t>
  </si>
  <si>
    <t>1:39.71</t>
  </si>
  <si>
    <t>BOYLE Lachlan</t>
  </si>
  <si>
    <t>51.51</t>
  </si>
  <si>
    <t>1:40.08</t>
  </si>
  <si>
    <t>1:40.16</t>
  </si>
  <si>
    <t>ALI Daniel</t>
  </si>
  <si>
    <t>51.41</t>
  </si>
  <si>
    <t>1:40.24</t>
  </si>
  <si>
    <t>1:40.38</t>
  </si>
  <si>
    <t>SMITH Fraser</t>
  </si>
  <si>
    <t>1:40.45</t>
  </si>
  <si>
    <t>1:40.99</t>
  </si>
  <si>
    <t>1:41.29</t>
  </si>
  <si>
    <t>1:41.83</t>
  </si>
  <si>
    <t>1:41.84</t>
  </si>
  <si>
    <t>BAMBERGER Matthew</t>
  </si>
  <si>
    <t>ADANC</t>
  </si>
  <si>
    <t>1:42.12</t>
  </si>
  <si>
    <t>1:42.25</t>
  </si>
  <si>
    <t>CANAVAN Fraser</t>
  </si>
  <si>
    <t>1:42.30</t>
  </si>
  <si>
    <t>1:42.38</t>
  </si>
  <si>
    <t>WILCOX Alexander</t>
  </si>
  <si>
    <t>1:42.39</t>
  </si>
  <si>
    <t>FURNISH Benjamin</t>
  </si>
  <si>
    <t>1:42.79</t>
  </si>
  <si>
    <t>1:43.36</t>
  </si>
  <si>
    <t>1:45.11</t>
  </si>
  <si>
    <t>1:46.23</t>
  </si>
  <si>
    <t>GOUGEON Griffin</t>
  </si>
  <si>
    <t>1:47.07</t>
  </si>
  <si>
    <t>1:47.44</t>
  </si>
  <si>
    <t>1:47.77</t>
  </si>
  <si>
    <t>54.55</t>
  </si>
  <si>
    <t>1:53.22</t>
  </si>
  <si>
    <t>DSQ - 20</t>
  </si>
  <si>
    <t>MCINTOSH Jack</t>
  </si>
  <si>
    <t>FOWLER Max</t>
  </si>
  <si>
    <t>26.01 GS</t>
  </si>
  <si>
    <t>pos0124</t>
  </si>
  <si>
    <t>pts0124</t>
  </si>
  <si>
    <t>pos0122</t>
  </si>
  <si>
    <t>pts0122</t>
  </si>
  <si>
    <t>1:26.22</t>
  </si>
  <si>
    <t>1:26.54</t>
  </si>
  <si>
    <t>1:27.48</t>
  </si>
  <si>
    <t>1:27.62</t>
  </si>
  <si>
    <t>1:28.34</t>
  </si>
  <si>
    <t>1:29.42</t>
  </si>
  <si>
    <t>1:29.56</t>
  </si>
  <si>
    <t>1:29.73</t>
  </si>
  <si>
    <t>1:29.98</t>
  </si>
  <si>
    <t>1:30.18</t>
  </si>
  <si>
    <t>1:30.51</t>
  </si>
  <si>
    <t>1:30.88</t>
  </si>
  <si>
    <t>1:31.24</t>
  </si>
  <si>
    <t>1:33.13</t>
  </si>
  <si>
    <t>1:34.11</t>
  </si>
  <si>
    <t>1:34.24</t>
  </si>
  <si>
    <t>1:34.32</t>
  </si>
  <si>
    <t>1:35.53</t>
  </si>
  <si>
    <t>1:35.89</t>
  </si>
  <si>
    <t>1:36.85</t>
  </si>
  <si>
    <t>1:38.41</t>
  </si>
  <si>
    <t>1:39.59</t>
  </si>
  <si>
    <t>1:39.77</t>
  </si>
  <si>
    <t>1:39.82</t>
  </si>
  <si>
    <t>51.32</t>
  </si>
  <si>
    <t>1:40.56</t>
  </si>
  <si>
    <t>1:40.63</t>
  </si>
  <si>
    <t>1:41.10</t>
  </si>
  <si>
    <t>1:41.88</t>
  </si>
  <si>
    <t>1:44.39</t>
  </si>
  <si>
    <t>1:44.84</t>
  </si>
  <si>
    <t>52.17</t>
  </si>
  <si>
    <t>1:46.25</t>
  </si>
  <si>
    <t>1:49.30</t>
  </si>
  <si>
    <t>55.31</t>
  </si>
  <si>
    <t>55.76</t>
  </si>
  <si>
    <t>1:51.07</t>
  </si>
  <si>
    <t>56.16</t>
  </si>
  <si>
    <t>1:52.92</t>
  </si>
  <si>
    <t>1:56.36</t>
  </si>
  <si>
    <t>1:01.47</t>
  </si>
  <si>
    <t>2:00.38</t>
  </si>
  <si>
    <t>DSQ - 43</t>
  </si>
  <si>
    <t>DSQ - 47</t>
  </si>
  <si>
    <t>DSQ - 46</t>
  </si>
  <si>
    <t>DSQ - 35</t>
  </si>
  <si>
    <t>DSQ - 24</t>
  </si>
  <si>
    <t>DSQ - 10</t>
  </si>
  <si>
    <t>DSQ - 45</t>
  </si>
  <si>
    <t>DSQ - 21</t>
  </si>
  <si>
    <t>DSQ - 22</t>
  </si>
  <si>
    <t>WANG Alex</t>
  </si>
  <si>
    <t>NATAC</t>
  </si>
  <si>
    <t>pos0140</t>
  </si>
  <si>
    <t>pts0140</t>
  </si>
  <si>
    <t>27.01 SL</t>
  </si>
  <si>
    <t>28.01 Dual</t>
  </si>
  <si>
    <t>pos0125</t>
  </si>
  <si>
    <t>pts0125</t>
  </si>
  <si>
    <t>1:18.96</t>
  </si>
  <si>
    <t>1:19.03</t>
  </si>
  <si>
    <t>1:19.27</t>
  </si>
  <si>
    <t>1:19.35</t>
  </si>
  <si>
    <t>1:19.58</t>
  </si>
  <si>
    <t>1:19.98</t>
  </si>
  <si>
    <t>1:20.45</t>
  </si>
  <si>
    <t>1:20.80</t>
  </si>
  <si>
    <t>1:20.88</t>
  </si>
  <si>
    <t>1:21.03</t>
  </si>
  <si>
    <t>1:21.10</t>
  </si>
  <si>
    <t>1:21.29</t>
  </si>
  <si>
    <t>1:21.39</t>
  </si>
  <si>
    <t>1:21.55</t>
  </si>
  <si>
    <t>1:21.81</t>
  </si>
  <si>
    <t>1:21.98</t>
  </si>
  <si>
    <t>1:22.07</t>
  </si>
  <si>
    <t>1:22.24</t>
  </si>
  <si>
    <t>1:22.55</t>
  </si>
  <si>
    <t>1:22.86</t>
  </si>
  <si>
    <t>1:22.94</t>
  </si>
  <si>
    <t>1:22.95</t>
  </si>
  <si>
    <t>1:23.01</t>
  </si>
  <si>
    <t>1:23.04</t>
  </si>
  <si>
    <t>1:23.07</t>
  </si>
  <si>
    <t>1:23.21</t>
  </si>
  <si>
    <t>1:23.40</t>
  </si>
  <si>
    <t>1:23.49</t>
  </si>
  <si>
    <t>1:24.22</t>
  </si>
  <si>
    <t>1:24.28</t>
  </si>
  <si>
    <t>1:24.56</t>
  </si>
  <si>
    <t>1:24.77</t>
  </si>
  <si>
    <t>1:24.99</t>
  </si>
  <si>
    <t>1:25.08</t>
  </si>
  <si>
    <t>1:25.10</t>
  </si>
  <si>
    <t>1:25.43</t>
  </si>
  <si>
    <t>1:25.51</t>
  </si>
  <si>
    <t>1:25.57</t>
  </si>
  <si>
    <t>1:26.09</t>
  </si>
  <si>
    <t>1:26.27</t>
  </si>
  <si>
    <t>1:26.29</t>
  </si>
  <si>
    <t>1:26.34</t>
  </si>
  <si>
    <t>1:26.35</t>
  </si>
  <si>
    <t>1:26.45</t>
  </si>
  <si>
    <t>1:26.53</t>
  </si>
  <si>
    <t>1:26.58</t>
  </si>
  <si>
    <t>1:26.82</t>
  </si>
  <si>
    <t>1:26.88</t>
  </si>
  <si>
    <t>1:26.91</t>
  </si>
  <si>
    <t>1:27.72</t>
  </si>
  <si>
    <t>1:28.06</t>
  </si>
  <si>
    <t>1:28.20</t>
  </si>
  <si>
    <t>1:28.43</t>
  </si>
  <si>
    <t>1:28.88</t>
  </si>
  <si>
    <t>1:28.93</t>
  </si>
  <si>
    <t>1:29.22</t>
  </si>
  <si>
    <t>1:29.43</t>
  </si>
  <si>
    <t>1:29.50</t>
  </si>
  <si>
    <t>1:29.67</t>
  </si>
  <si>
    <t>1:30.43</t>
  </si>
  <si>
    <t>1:30.45</t>
  </si>
  <si>
    <t>1:31.11</t>
  </si>
  <si>
    <t>1:32.40</t>
  </si>
  <si>
    <t>1:32.50</t>
  </si>
  <si>
    <t>1:32.53</t>
  </si>
  <si>
    <t>1:33.03</t>
  </si>
  <si>
    <t>HARTLEN Brody</t>
  </si>
  <si>
    <t>1:33.19</t>
  </si>
  <si>
    <t>COWAN Oliver</t>
  </si>
  <si>
    <t>1:33.37</t>
  </si>
  <si>
    <t>1:34.54</t>
  </si>
  <si>
    <t>1:38.18</t>
  </si>
  <si>
    <t>1:38.25</t>
  </si>
  <si>
    <t>1:43.77</t>
  </si>
  <si>
    <t>THISTLETHWAITE Jack</t>
  </si>
  <si>
    <t>MACNAUGHTAN Finlay</t>
  </si>
  <si>
    <t>DSQ - 11</t>
  </si>
  <si>
    <t>05.01 GS</t>
  </si>
  <si>
    <t>pos0117</t>
  </si>
  <si>
    <t>pts0117</t>
  </si>
  <si>
    <t>07.01 SL</t>
  </si>
  <si>
    <t>49.87</t>
  </si>
  <si>
    <t>51.01</t>
  </si>
  <si>
    <t>51.19</t>
  </si>
  <si>
    <t>51.24</t>
  </si>
  <si>
    <t>51.77</t>
  </si>
  <si>
    <t>51.80</t>
  </si>
  <si>
    <t>52.39</t>
  </si>
  <si>
    <t>52.69</t>
  </si>
  <si>
    <t>52.81</t>
  </si>
  <si>
    <t>52.89</t>
  </si>
  <si>
    <t>53.08</t>
  </si>
  <si>
    <t>53.57</t>
  </si>
  <si>
    <t>54.15</t>
  </si>
  <si>
    <t>54.63</t>
  </si>
  <si>
    <t>54.65</t>
  </si>
  <si>
    <t>54.84</t>
  </si>
  <si>
    <t>55.00</t>
  </si>
  <si>
    <t>55.17</t>
  </si>
  <si>
    <t>55.69</t>
  </si>
  <si>
    <t>55.98</t>
  </si>
  <si>
    <t>56.04</t>
  </si>
  <si>
    <t>56.19</t>
  </si>
  <si>
    <t>56.57</t>
  </si>
  <si>
    <t>56.90</t>
  </si>
  <si>
    <t>57.01</t>
  </si>
  <si>
    <t>57.38</t>
  </si>
  <si>
    <t>57.73</t>
  </si>
  <si>
    <t>57.78</t>
  </si>
  <si>
    <t>57.92</t>
  </si>
  <si>
    <t>58.66</t>
  </si>
  <si>
    <t>58.73</t>
  </si>
  <si>
    <t>59.00</t>
  </si>
  <si>
    <t>59.01</t>
  </si>
  <si>
    <t>59.37</t>
  </si>
  <si>
    <t>59.49</t>
  </si>
  <si>
    <t>59.58</t>
  </si>
  <si>
    <t>1:00.06</t>
  </si>
  <si>
    <t>1:00.09</t>
  </si>
  <si>
    <t>1:00.16</t>
  </si>
  <si>
    <t>1:00.32</t>
  </si>
  <si>
    <t>1:00.39</t>
  </si>
  <si>
    <t>1:00.46</t>
  </si>
  <si>
    <t>1:01.10</t>
  </si>
  <si>
    <t>1:01.46</t>
  </si>
  <si>
    <t>1:02.43</t>
  </si>
  <si>
    <t>1:02.74</t>
  </si>
  <si>
    <t>1:03.17</t>
  </si>
  <si>
    <t>1:04.25</t>
  </si>
  <si>
    <t>1:04.52</t>
  </si>
  <si>
    <t>1:04.83</t>
  </si>
  <si>
    <t>1:04.94</t>
  </si>
  <si>
    <t>1:05.78</t>
  </si>
  <si>
    <t>1:07.19</t>
  </si>
  <si>
    <t>1:07.45</t>
  </si>
  <si>
    <t>1:08.61</t>
  </si>
  <si>
    <t>1:08.86</t>
  </si>
  <si>
    <t>1:09.69</t>
  </si>
  <si>
    <t>1:09.93</t>
  </si>
  <si>
    <t>DSQ - 15</t>
  </si>
  <si>
    <t>DSQ - 17</t>
  </si>
  <si>
    <t>DSQ - 27</t>
  </si>
  <si>
    <t>DSQ - 23</t>
  </si>
  <si>
    <t>DSQ - 28</t>
  </si>
  <si>
    <t>pos0119</t>
  </si>
  <si>
    <t>pts0119</t>
  </si>
  <si>
    <t>19.01 SG</t>
  </si>
  <si>
    <t>50.32</t>
  </si>
  <si>
    <t>51.30</t>
  </si>
  <si>
    <t>51.48</t>
  </si>
  <si>
    <t>51.62</t>
  </si>
  <si>
    <t>51.72</t>
  </si>
  <si>
    <t>51.82</t>
  </si>
  <si>
    <t>52.04</t>
  </si>
  <si>
    <t>52.08</t>
  </si>
  <si>
    <t>52.33</t>
  </si>
  <si>
    <t>52.43</t>
  </si>
  <si>
    <t>52.73</t>
  </si>
  <si>
    <t>52.93</t>
  </si>
  <si>
    <t>53.14</t>
  </si>
  <si>
    <t>53.40</t>
  </si>
  <si>
    <t>53.64</t>
  </si>
  <si>
    <t>53.95</t>
  </si>
  <si>
    <t>53.96</t>
  </si>
  <si>
    <t>54.09</t>
  </si>
  <si>
    <t>54.38</t>
  </si>
  <si>
    <t>54.77</t>
  </si>
  <si>
    <t>54.93</t>
  </si>
  <si>
    <t>55.05</t>
  </si>
  <si>
    <t>55.13</t>
  </si>
  <si>
    <t>55.34</t>
  </si>
  <si>
    <t>55.47</t>
  </si>
  <si>
    <t>55.56</t>
  </si>
  <si>
    <t>55.59</t>
  </si>
  <si>
    <t>55.60</t>
  </si>
  <si>
    <t>55.64</t>
  </si>
  <si>
    <t>55.66</t>
  </si>
  <si>
    <t>55.95</t>
  </si>
  <si>
    <t>56.02</t>
  </si>
  <si>
    <t>56.09</t>
  </si>
  <si>
    <t>56.26</t>
  </si>
  <si>
    <t>56.37</t>
  </si>
  <si>
    <t>56.61</t>
  </si>
  <si>
    <t>56.71</t>
  </si>
  <si>
    <t>56.88</t>
  </si>
  <si>
    <t>56.93</t>
  </si>
  <si>
    <t>56.94</t>
  </si>
  <si>
    <t>56.95</t>
  </si>
  <si>
    <t>57.09</t>
  </si>
  <si>
    <t>57.10</t>
  </si>
  <si>
    <t>57.28</t>
  </si>
  <si>
    <t>57.31</t>
  </si>
  <si>
    <t>57.45</t>
  </si>
  <si>
    <t>57.70</t>
  </si>
  <si>
    <t>57.71</t>
  </si>
  <si>
    <t>57.93</t>
  </si>
  <si>
    <t>58.04</t>
  </si>
  <si>
    <t>58.16</t>
  </si>
  <si>
    <t>58.26</t>
  </si>
  <si>
    <t>58.48</t>
  </si>
  <si>
    <t>58.71</t>
  </si>
  <si>
    <t>1:00.85</t>
  </si>
  <si>
    <t>1:01.17</t>
  </si>
  <si>
    <t>1:01.93</t>
  </si>
  <si>
    <t>1:02.14</t>
  </si>
  <si>
    <t>1:02.67</t>
  </si>
  <si>
    <t>1:06.81</t>
  </si>
  <si>
    <t>1:09.28</t>
  </si>
  <si>
    <t>pos0121</t>
  </si>
  <si>
    <t>pts0121</t>
  </si>
  <si>
    <t>Run1 Rank</t>
  </si>
  <si>
    <t>Run2 Rank</t>
  </si>
  <si>
    <t>Best SL</t>
  </si>
  <si>
    <t>Best GS</t>
  </si>
  <si>
    <t>POS1</t>
  </si>
  <si>
    <t>PTS1</t>
  </si>
  <si>
    <t>POS2</t>
  </si>
  <si>
    <t>PTS2</t>
  </si>
  <si>
    <t>pos1.0117</t>
  </si>
  <si>
    <t>pts1.0117</t>
  </si>
  <si>
    <t>pts2.0117</t>
  </si>
  <si>
    <t>pos2.0117</t>
  </si>
  <si>
    <t>pos1.0119</t>
  </si>
  <si>
    <t>pts1.0119</t>
  </si>
  <si>
    <t>pos2.0119</t>
  </si>
  <si>
    <t>pts2.0119</t>
  </si>
  <si>
    <t>pos1.0124</t>
  </si>
  <si>
    <t>pts1.0124</t>
  </si>
  <si>
    <t>pts1.0125</t>
  </si>
  <si>
    <t>POS2.0124</t>
  </si>
  <si>
    <t>pts2.0124</t>
  </si>
  <si>
    <t>pos1.0140</t>
  </si>
  <si>
    <t>pts1.0140</t>
  </si>
  <si>
    <t>pos2.0140</t>
  </si>
  <si>
    <t>pts2.0140</t>
  </si>
  <si>
    <t>pos1.0125</t>
  </si>
  <si>
    <t>pos2.025</t>
  </si>
  <si>
    <t>pts2.0125</t>
  </si>
  <si>
    <t>SOCUP SL Run</t>
  </si>
  <si>
    <t>SOCUP GS Run</t>
  </si>
  <si>
    <t>Best 5 of 7</t>
  </si>
  <si>
    <t>MW 2of3</t>
  </si>
  <si>
    <t>Series SL</t>
  </si>
  <si>
    <t>1:08.45</t>
  </si>
  <si>
    <t>1:08.62</t>
  </si>
  <si>
    <t>1:08.67</t>
  </si>
  <si>
    <t>1:10.33</t>
  </si>
  <si>
    <t>1:10.67</t>
  </si>
  <si>
    <t>1:11.05</t>
  </si>
  <si>
    <t>1:11.27</t>
  </si>
  <si>
    <t>1:11.78</t>
  </si>
  <si>
    <t>1:11.97</t>
  </si>
  <si>
    <t>1:11.98</t>
  </si>
  <si>
    <t>1:12.05</t>
  </si>
  <si>
    <t>1:12.22</t>
  </si>
  <si>
    <t>1:12.36</t>
  </si>
  <si>
    <t>1:12.65</t>
  </si>
  <si>
    <t>1:12.77</t>
  </si>
  <si>
    <t>1:12.79</t>
  </si>
  <si>
    <t>1:12.87</t>
  </si>
  <si>
    <t>1:13.28</t>
  </si>
  <si>
    <t>1:13.50</t>
  </si>
  <si>
    <t>1:13.92</t>
  </si>
  <si>
    <t>1:14.18</t>
  </si>
  <si>
    <t>1:14.29</t>
  </si>
  <si>
    <t>1:14.37</t>
  </si>
  <si>
    <t>1:14.63</t>
  </si>
  <si>
    <t>1:14.67</t>
  </si>
  <si>
    <t>1:14.79</t>
  </si>
  <si>
    <t>1:14.84</t>
  </si>
  <si>
    <t>1:14.87</t>
  </si>
  <si>
    <t>1:14.96</t>
  </si>
  <si>
    <t>1:15.11</t>
  </si>
  <si>
    <t>1:15.47</t>
  </si>
  <si>
    <t>1:15.82</t>
  </si>
  <si>
    <t>1:16.06</t>
  </si>
  <si>
    <t>1:16.59</t>
  </si>
  <si>
    <t>1:16.62</t>
  </si>
  <si>
    <t>1:16.78</t>
  </si>
  <si>
    <t>1:16.95</t>
  </si>
  <si>
    <t>1:17.26</t>
  </si>
  <si>
    <t>1:17.33</t>
  </si>
  <si>
    <t>1:17.51</t>
  </si>
  <si>
    <t>1:18.23</t>
  </si>
  <si>
    <t>1:18.25</t>
  </si>
  <si>
    <t>1:18.44</t>
  </si>
  <si>
    <t>1:19.33</t>
  </si>
  <si>
    <t>1:19.34</t>
  </si>
  <si>
    <t>1:19.47</t>
  </si>
  <si>
    <t>1:19.63</t>
  </si>
  <si>
    <t>1:19.85</t>
  </si>
  <si>
    <t>1:20.27</t>
  </si>
  <si>
    <t>1:20.39</t>
  </si>
  <si>
    <t>1:20.46</t>
  </si>
  <si>
    <t>1:20.67</t>
  </si>
  <si>
    <t>1:20.93</t>
  </si>
  <si>
    <t>1:20.94</t>
  </si>
  <si>
    <t>1:20.98</t>
  </si>
  <si>
    <t>1:21.15</t>
  </si>
  <si>
    <t>1:21.45</t>
  </si>
  <si>
    <t>1:21.52</t>
  </si>
  <si>
    <t>1:21.83</t>
  </si>
  <si>
    <t>1:21.84</t>
  </si>
  <si>
    <t>1:22.06</t>
  </si>
  <si>
    <t>1:22.47</t>
  </si>
  <si>
    <t>1:22.81</t>
  </si>
  <si>
    <t>1:22.90</t>
  </si>
  <si>
    <t>1:23.29</t>
  </si>
  <si>
    <t>1:23.67</t>
  </si>
  <si>
    <t>1:23.84</t>
  </si>
  <si>
    <t>1:24.58</t>
  </si>
  <si>
    <t>1:25.44</t>
  </si>
  <si>
    <t>1:26.06</t>
  </si>
  <si>
    <t>1:26.16</t>
  </si>
  <si>
    <t>1:26.47</t>
  </si>
  <si>
    <t>1:27.42</t>
  </si>
  <si>
    <t>1:27.52</t>
  </si>
  <si>
    <t>1:27.80</t>
  </si>
  <si>
    <t>1:27.94</t>
  </si>
  <si>
    <t>1:28.55</t>
  </si>
  <si>
    <t>1:28.73</t>
  </si>
  <si>
    <t>1:28.99</t>
  </si>
  <si>
    <t>1:31.93</t>
  </si>
  <si>
    <t>1:35.57</t>
  </si>
  <si>
    <t>Run 2 Rank</t>
  </si>
  <si>
    <t>10.02 SL</t>
  </si>
  <si>
    <t>pos1.0118</t>
  </si>
  <si>
    <t>pts1.0118</t>
  </si>
  <si>
    <t>pos2.0118</t>
  </si>
  <si>
    <t>pts2.0118</t>
  </si>
  <si>
    <t>pos0118</t>
  </si>
  <si>
    <t>pts0118</t>
  </si>
  <si>
    <t>Series GS</t>
  </si>
  <si>
    <t>Pos</t>
  </si>
  <si>
    <t>Best GS/SG</t>
  </si>
  <si>
    <t>MW 5 of 7 Runs</t>
  </si>
  <si>
    <t>MW 2 of 3 Combined</t>
  </si>
  <si>
    <t>SOCUP Series</t>
  </si>
  <si>
    <t>1:21.21</t>
  </si>
  <si>
    <t>1:21.94</t>
  </si>
  <si>
    <t>1:22.42</t>
  </si>
  <si>
    <t>1:22.51</t>
  </si>
  <si>
    <t>1:22.62</t>
  </si>
  <si>
    <t>1:22.68</t>
  </si>
  <si>
    <t>1:22.96</t>
  </si>
  <si>
    <t>1:22.99</t>
  </si>
  <si>
    <t>1:23.30</t>
  </si>
  <si>
    <t>1:23.43</t>
  </si>
  <si>
    <t>1:23.62</t>
  </si>
  <si>
    <t>1:23.95</t>
  </si>
  <si>
    <t>1:24.49</t>
  </si>
  <si>
    <t>1:24.66</t>
  </si>
  <si>
    <t>1:24.69</t>
  </si>
  <si>
    <t>1:24.81</t>
  </si>
  <si>
    <t>1:24.84</t>
  </si>
  <si>
    <t>1:25.21</t>
  </si>
  <si>
    <t>1:25.23</t>
  </si>
  <si>
    <t>1:25.30</t>
  </si>
  <si>
    <t>1:25.37</t>
  </si>
  <si>
    <t>1:25.72</t>
  </si>
  <si>
    <t>1:25.73</t>
  </si>
  <si>
    <t>1:25.77</t>
  </si>
  <si>
    <t>1:25.80</t>
  </si>
  <si>
    <t>1:25.93</t>
  </si>
  <si>
    <t>1:25.95</t>
  </si>
  <si>
    <t>1:25.98</t>
  </si>
  <si>
    <t>1:26.33</t>
  </si>
  <si>
    <t>1:26.95</t>
  </si>
  <si>
    <t>1:27.01</t>
  </si>
  <si>
    <t>1:27.20</t>
  </si>
  <si>
    <t>1:27.64</t>
  </si>
  <si>
    <t>1:27.78</t>
  </si>
  <si>
    <t>1:27.79</t>
  </si>
  <si>
    <t>1:27.82</t>
  </si>
  <si>
    <t>1:28.07</t>
  </si>
  <si>
    <t>1:28.14</t>
  </si>
  <si>
    <t>1:28.29</t>
  </si>
  <si>
    <t>1:28.36</t>
  </si>
  <si>
    <t>1:28.40</t>
  </si>
  <si>
    <t>1:28.60</t>
  </si>
  <si>
    <t>1:28.79</t>
  </si>
  <si>
    <t>1:28.97</t>
  </si>
  <si>
    <t>1:29.06</t>
  </si>
  <si>
    <t>1:29.13</t>
  </si>
  <si>
    <t>1:29.26</t>
  </si>
  <si>
    <t>1:29.28</t>
  </si>
  <si>
    <t>1:29.70</t>
  </si>
  <si>
    <t>1:29.78</t>
  </si>
  <si>
    <t>1:29.80</t>
  </si>
  <si>
    <t>1:30.10</t>
  </si>
  <si>
    <t>1:30.25</t>
  </si>
  <si>
    <t>1:30.33</t>
  </si>
  <si>
    <t>1:30.54</t>
  </si>
  <si>
    <t>1:30.55</t>
  </si>
  <si>
    <t>1:30.59</t>
  </si>
  <si>
    <t>1:30.63</t>
  </si>
  <si>
    <t>1:30.78</t>
  </si>
  <si>
    <t>1:30.99</t>
  </si>
  <si>
    <t>1:31.00</t>
  </si>
  <si>
    <t>1:31.12</t>
  </si>
  <si>
    <t>1:31.68</t>
  </si>
  <si>
    <t>1:31.99</t>
  </si>
  <si>
    <t>1:33.28</t>
  </si>
  <si>
    <t>1:33.30</t>
  </si>
  <si>
    <t>1:34.30</t>
  </si>
  <si>
    <t>1:34.33</t>
  </si>
  <si>
    <t>1:34.58</t>
  </si>
  <si>
    <t>1:34.87</t>
  </si>
  <si>
    <t>1:35.56</t>
  </si>
  <si>
    <t>1:36.72</t>
  </si>
  <si>
    <t>1:36.73</t>
  </si>
  <si>
    <t>1:40.79</t>
  </si>
  <si>
    <t>1:42.14</t>
  </si>
  <si>
    <t>LOCHRAN Cole</t>
  </si>
  <si>
    <t>DSQ - 0</t>
  </si>
  <si>
    <t>11.02 GS</t>
  </si>
  <si>
    <t>pos0123</t>
  </si>
  <si>
    <t>pts0123</t>
  </si>
  <si>
    <t>pos1.0123</t>
  </si>
  <si>
    <t>pts1.0123</t>
  </si>
  <si>
    <t>pos2.0123</t>
  </si>
  <si>
    <t>pts2.0123</t>
  </si>
  <si>
    <t>1:23.46</t>
  </si>
  <si>
    <t>1:24.35</t>
  </si>
  <si>
    <t>1:25.31</t>
  </si>
  <si>
    <t>1:25.87</t>
  </si>
  <si>
    <t>1:27.26</t>
  </si>
  <si>
    <t>1:27.49</t>
  </si>
  <si>
    <t>1:27.60</t>
  </si>
  <si>
    <t>1:28.51</t>
  </si>
  <si>
    <t>1:28.77</t>
  </si>
  <si>
    <t>1:28.94</t>
  </si>
  <si>
    <t>1:30.07</t>
  </si>
  <si>
    <t>1:30.31</t>
  </si>
  <si>
    <t>1:30.77</t>
  </si>
  <si>
    <t>1:31.05</t>
  </si>
  <si>
    <t>1:31.16</t>
  </si>
  <si>
    <t>1:31.17</t>
  </si>
  <si>
    <t>1:32.00</t>
  </si>
  <si>
    <t>1:32.24</t>
  </si>
  <si>
    <t>1:32.51</t>
  </si>
  <si>
    <t>1:32.62</t>
  </si>
  <si>
    <t>1:32.71</t>
  </si>
  <si>
    <t>1:32.73</t>
  </si>
  <si>
    <t>1:32.76</t>
  </si>
  <si>
    <t>1:33.07</t>
  </si>
  <si>
    <t>1:33.20</t>
  </si>
  <si>
    <t>1:33.42</t>
  </si>
  <si>
    <t>1:33.52</t>
  </si>
  <si>
    <t>1:34.82</t>
  </si>
  <si>
    <t>1:35.18</t>
  </si>
  <si>
    <t>1:35.28</t>
  </si>
  <si>
    <t>1:35.58</t>
  </si>
  <si>
    <t>1:36.06</t>
  </si>
  <si>
    <t>1:38.19</t>
  </si>
  <si>
    <t>1:38.30</t>
  </si>
  <si>
    <t>1:38.35</t>
  </si>
  <si>
    <t>1:38.47</t>
  </si>
  <si>
    <t>1:38.64</t>
  </si>
  <si>
    <t>1:39.20</t>
  </si>
  <si>
    <t>1:39.40</t>
  </si>
  <si>
    <t>1:39.91</t>
  </si>
  <si>
    <t>1:40.20</t>
  </si>
  <si>
    <t>1:40.37</t>
  </si>
  <si>
    <t>1:41.34</t>
  </si>
  <si>
    <t>1:41.76</t>
  </si>
  <si>
    <t>1:42.68</t>
  </si>
  <si>
    <t>1:42.99</t>
  </si>
  <si>
    <t>1:43.18</t>
  </si>
  <si>
    <t>1:43.75</t>
  </si>
  <si>
    <t>1:44.44</t>
  </si>
  <si>
    <t>1:44.54</t>
  </si>
  <si>
    <t>1:44.98</t>
  </si>
  <si>
    <t>1:46.11</t>
  </si>
  <si>
    <t>1:46.76</t>
  </si>
  <si>
    <t>1:47.12</t>
  </si>
  <si>
    <t>1:48.26</t>
  </si>
  <si>
    <t>1:48.37</t>
  </si>
  <si>
    <t>1:51.89</t>
  </si>
  <si>
    <t>1:00.45</t>
  </si>
  <si>
    <t>2:00.30</t>
  </si>
  <si>
    <t>DSQ - 40</t>
  </si>
  <si>
    <t>DSQ - 2</t>
  </si>
  <si>
    <t>DSQ - 41</t>
  </si>
  <si>
    <t>25.02 SL</t>
  </si>
  <si>
    <t>pos0120</t>
  </si>
  <si>
    <t>pts0120</t>
  </si>
  <si>
    <t>pos1.0120</t>
  </si>
  <si>
    <t>pts1.0120</t>
  </si>
  <si>
    <t>pos2.0120</t>
  </si>
  <si>
    <t>pts2.0120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</si>
</sst>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A010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2">
    <xf numFmtId="0" fontId="0" fillId="0" borderId="0"/>
    <xf numFmtId="0" fontId="3" fillId="5" borderId="0" applyNumberFormat="0" applyBorder="0" applyAlignment="0" applyProtection="0"/>
  </cellStyleXfs>
  <cellXfs count="44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2" fillId="2" borderId="0" xfId="0" applyFont="1" applyFill="1"/>
    <xf numFmtId="0" fontId="1" fillId="2" borderId="0" xfId="0" applyFont="1" applyFill="1"/>
    <xf numFmtId="0" fontId="0" fillId="0" borderId="0" xfId="0" applyNumberFormat="1"/>
    <xf numFmtId="0" fontId="0" fillId="0" borderId="3" xfId="0" applyFont="1" applyBorder="1"/>
    <xf numFmtId="0" fontId="0" fillId="0" borderId="4" xfId="0" applyFont="1" applyBorder="1"/>
    <xf numFmtId="0" fontId="0" fillId="0" borderId="4" xfId="0" applyNumberFormat="1" applyFont="1" applyBorder="1"/>
    <xf numFmtId="0" fontId="0" fillId="0" borderId="5" xfId="0" applyFont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0" fillId="4" borderId="7" xfId="0" applyNumberFormat="1" applyFont="1" applyFill="1" applyBorder="1"/>
    <xf numFmtId="0" fontId="0" fillId="4" borderId="8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7" xfId="0" applyNumberFormat="1" applyFont="1" applyBorder="1"/>
    <xf numFmtId="0" fontId="0" fillId="0" borderId="8" xfId="0" applyFont="1" applyBorder="1"/>
    <xf numFmtId="0" fontId="1" fillId="3" borderId="0" xfId="0" applyFont="1" applyFill="1" applyBorder="1"/>
    <xf numFmtId="0" fontId="0" fillId="4" borderId="0" xfId="0" applyFont="1" applyFill="1" applyBorder="1"/>
    <xf numFmtId="0" fontId="0" fillId="0" borderId="7" xfId="0" applyBorder="1"/>
    <xf numFmtId="0" fontId="0" fillId="4" borderId="0" xfId="0" applyNumberFormat="1" applyFont="1" applyFill="1" applyBorder="1"/>
    <xf numFmtId="0" fontId="0" fillId="0" borderId="7" xfId="0" applyNumberFormat="1" applyBorder="1"/>
    <xf numFmtId="0" fontId="0" fillId="0" borderId="0" xfId="0" applyBorder="1"/>
    <xf numFmtId="0" fontId="0" fillId="0" borderId="0" xfId="0" applyNumberFormat="1" applyBorder="1"/>
    <xf numFmtId="0" fontId="0" fillId="4" borderId="4" xfId="0" applyFont="1" applyFill="1" applyBorder="1"/>
    <xf numFmtId="0" fontId="0" fillId="4" borderId="4" xfId="0" applyNumberFormat="1" applyFont="1" applyFill="1" applyBorder="1"/>
    <xf numFmtId="0" fontId="0" fillId="4" borderId="5" xfId="0" applyFont="1" applyFill="1" applyBorder="1"/>
    <xf numFmtId="0" fontId="0" fillId="4" borderId="3" xfId="0" applyFont="1" applyFill="1" applyBorder="1"/>
    <xf numFmtId="0" fontId="1" fillId="3" borderId="0" xfId="0" applyFont="1" applyFill="1"/>
    <xf numFmtId="0" fontId="2" fillId="0" borderId="0" xfId="0" applyFont="1"/>
    <xf numFmtId="0" fontId="1" fillId="2" borderId="0" xfId="0" applyFont="1" applyFill="1" applyAlignment="1"/>
    <xf numFmtId="0" fontId="4" fillId="0" borderId="0" xfId="0" applyFont="1"/>
    <xf numFmtId="0" fontId="0" fillId="6" borderId="0" xfId="0" applyFill="1"/>
    <xf numFmtId="0" fontId="3" fillId="5" borderId="0" xfId="1"/>
    <xf numFmtId="0" fontId="1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/>
    <xf numFmtId="0" fontId="0" fillId="7" borderId="0" xfId="0" applyNumberFormat="1" applyFill="1"/>
    <xf numFmtId="0" fontId="0" fillId="0" borderId="0" xfId="0" applyFill="1"/>
  </cellXfs>
  <cellStyles count="2">
    <cellStyle name="Good" xfId="1" builtinId="26"/>
    <cellStyle name="Normal" xfId="0" builtinId="0"/>
  </cellStyles>
  <dxfs count="11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1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border outline="0">
        <bottom style="thin">
          <color theme="1"/>
        </bottom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2" name="U14M" displayName="U14M" ref="B3:L124" totalsRowShown="0">
  <autoFilter ref="B3:L124"/>
  <sortState ref="B4:L124">
    <sortCondition descending="1" ref="F3:F124"/>
  </sortState>
  <tableColumns count="11">
    <tableColumn id="1" name="Card"/>
    <tableColumn id="2" name="Name"/>
    <tableColumn id="3" name="YOB"/>
    <tableColumn id="4" name="Club"/>
    <tableColumn id="5" name="Total" dataDxfId="111">
      <calculatedColumnFormula>SUM(U14M[[#This Row],[Best SL]:[MW 5 of 7 Runs]])</calculatedColumnFormula>
    </tableColumn>
    <tableColumn id="6" name="Best SL" dataDxfId="110">
      <calculatedColumnFormula>VLOOKUP(U14M[[#This Row],[Card]],U14Mcombined[],6,FALSE)</calculatedColumnFormula>
    </tableColumn>
    <tableColumn id="7" name="Best GS" dataDxfId="109">
      <calculatedColumnFormula>VLOOKUP(U14M[[#This Row],[Card]],U14Mcombined[],7,FALSE)</calculatedColumnFormula>
    </tableColumn>
    <tableColumn id="10" name="SOCUP SL Run" dataDxfId="108">
      <calculatedColumnFormula>VLOOKUP(U14M[[#This Row],[Card]],U14Mruns[],5,FALSE)</calculatedColumnFormula>
    </tableColumn>
    <tableColumn id="12" name="SOCUP GS Run" dataDxfId="107">
      <calculatedColumnFormula>VLOOKUP(U14M[[#This Row],[Card]],U14Mruns[],6,FALSE)</calculatedColumnFormula>
    </tableColumn>
    <tableColumn id="9" name="MW 2 of 3 Combined" dataDxfId="106">
      <calculatedColumnFormula>VLOOKUP(U14M[[#This Row],[Card]],U14Mcombined[],5,FALSE)</calculatedColumnFormula>
    </tableColumn>
    <tableColumn id="11" name="MW 5 of 7 Runs" dataDxfId="105">
      <calculatedColumnFormula>VLOOKUP(U14M[[#This Row],[Card]],U14MMWruns[],5,FALSE)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4" name="results0122" displayName="results0122" ref="N1:P107" totalsRowShown="0">
  <autoFilter ref="N1:P107"/>
  <tableColumns count="3">
    <tableColumn id="1" name="Card" dataDxfId="31">
      <calculatedColumnFormula>B2</calculatedColumnFormula>
    </tableColumn>
    <tableColumn id="2" name="In List" dataDxfId="30">
      <calculatedColumnFormula>IF(AND(A2&gt;0,A2&lt;999),IFERROR(VLOOKUP(results0122[[#This Row],[Card]],U14M[],1,FALSE),0),0)</calculatedColumnFormula>
    </tableColumn>
    <tableColumn id="3" name="Rank" dataDxfId="29">
      <calculatedColumnFormula>A2</calculatedColumnFormula>
    </tableColumn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id="6" name="results0124" displayName="results0124" ref="N1:R117" totalsRowShown="0">
  <autoFilter ref="N1:R117"/>
  <tableColumns count="5">
    <tableColumn id="1" name="Card" dataDxfId="28">
      <calculatedColumnFormula>B2</calculatedColumnFormula>
    </tableColumn>
    <tableColumn id="2" name="In List" dataDxfId="27">
      <calculatedColumnFormula>IF(AND(A2&gt;0,A2&lt;999),IFERROR(VLOOKUP(results0124[[#This Row],[Card]],U14M[],1,FALSE),0),0)</calculatedColumnFormula>
    </tableColumn>
    <tableColumn id="3" name="Rank" dataDxfId="26">
      <calculatedColumnFormula>A2</calculatedColumnFormula>
    </tableColumn>
    <tableColumn id="4" name="Run1 Rank" dataDxfId="25">
      <calculatedColumnFormula>IFERROR(_xlfn.RANK.EQ(H2,$H$2:$H$117,1),999)</calculatedColumnFormula>
    </tableColumn>
    <tableColumn id="5" name="Run2 Rank" dataDxfId="24">
      <calculatedColumnFormula>IFERROR(_xlfn.RANK.EQ(I2,$I$2:$I$117,1),999)</calculatedColumnFormula>
    </tableColumn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id="8" name="results0140" displayName="results0140" ref="N1:R117" totalsRowShown="0" headerRowDxfId="23">
  <autoFilter ref="N1:R117"/>
  <tableColumns count="5">
    <tableColumn id="1" name="Card" dataDxfId="22">
      <calculatedColumnFormula>B2</calculatedColumnFormula>
    </tableColumn>
    <tableColumn id="2" name="In List" dataDxfId="21">
      <calculatedColumnFormula>IF(AND(A2&gt;0,A2&lt;999),IFERROR(VLOOKUP(results0140[[#This Row],[Card]],U14M[],1,FALSE),0),0)</calculatedColumnFormula>
    </tableColumn>
    <tableColumn id="3" name="Rank" dataDxfId="20">
      <calculatedColumnFormula>A2</calculatedColumnFormula>
    </tableColumn>
    <tableColumn id="4" name="Run1 Rank" dataDxfId="19">
      <calculatedColumnFormula>IFERROR(_xlfn.RANK.EQ(H2,$H$2:$H$117,1),999)</calculatedColumnFormula>
    </tableColumn>
    <tableColumn id="5" name="Run2 Rank" dataDxfId="18">
      <calculatedColumnFormula>IFERROR(_xlfn.RANK.EQ(I2,$I$2:$I$117,1),999)</calculatedColumnFormula>
    </tableColumn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id="9" name="results0125" displayName="results0125" ref="N1:R117" totalsRowShown="0" headerRowDxfId="17">
  <autoFilter ref="N1:R117"/>
  <tableColumns count="5">
    <tableColumn id="1" name="Card" dataDxfId="16">
      <calculatedColumnFormula>B2</calculatedColumnFormula>
    </tableColumn>
    <tableColumn id="2" name="In List" dataDxfId="15">
      <calculatedColumnFormula>IF(AND(A2&gt;0,A2&lt;999),IFERROR(VLOOKUP(results0125[[#This Row],[Card]],U14M[],1,FALSE),0),0)</calculatedColumnFormula>
    </tableColumn>
    <tableColumn id="3" name="Rank" dataDxfId="14">
      <calculatedColumnFormula>A2</calculatedColumnFormula>
    </tableColumn>
    <tableColumn id="4" name="Run1 Rank" dataDxfId="13">
      <calculatedColumnFormula>IFERROR(_xlfn.RANK.EQ(H2,$H$2:$H$117,1),999)</calculatedColumnFormula>
    </tableColumn>
    <tableColumn id="5" name="Run2 Rank" dataDxfId="12">
      <calculatedColumnFormula>IFERROR(_xlfn.RANK.EQ(I2,$I$2:$I$117,1),999)</calculatedColumnFormula>
    </tableColumn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id="15" name="results0123" displayName="results0123" ref="N1:R117" totalsRowShown="0" headerRowDxfId="11">
  <autoFilter ref="N1:R117"/>
  <tableColumns count="5">
    <tableColumn id="1" name="Card" dataDxfId="10">
      <calculatedColumnFormula>B2</calculatedColumnFormula>
    </tableColumn>
    <tableColumn id="2" name="In List" dataDxfId="9">
      <calculatedColumnFormula>IF(AND(A2&gt;0,A2&lt;999),IFERROR(VLOOKUP(results0123[[#This Row],[Card]],U14M[],1,FALSE),0),0)</calculatedColumnFormula>
    </tableColumn>
    <tableColumn id="3" name="Rank" dataDxfId="8">
      <calculatedColumnFormula>A2</calculatedColumnFormula>
    </tableColumn>
    <tableColumn id="4" name="Run1 Rank" dataDxfId="7">
      <calculatedColumnFormula>IFERROR(_xlfn.RANK.EQ(H2,$H$2:$H$117,1),999)</calculatedColumnFormula>
    </tableColumn>
    <tableColumn id="5" name="Run2 Rank" dataDxfId="6">
      <calculatedColumnFormula>IFERROR(_xlfn.RANK.EQ(I2,$I$2:$I$117,1),999)</calculatedColumnFormula>
    </tableColumn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id="16" name="results0120" displayName="results0120" ref="N1:R113" totalsRowShown="0" headerRowDxfId="5">
  <autoFilter ref="N1:R113"/>
  <tableColumns count="5">
    <tableColumn id="1" name="Card" dataDxfId="4">
      <calculatedColumnFormula>B2</calculatedColumnFormula>
    </tableColumn>
    <tableColumn id="2" name="In List" dataDxfId="3">
      <calculatedColumnFormula>IF(AND(A2&gt;0,A2&lt;999),IFERROR(VLOOKUP(results0120[[#This Row],[Card]],U14M[],1,FALSE),0),0)</calculatedColumnFormula>
    </tableColumn>
    <tableColumn id="3" name="Rank" dataDxfId="2">
      <calculatedColumnFormula>A2</calculatedColumnFormula>
    </tableColumn>
    <tableColumn id="4" name="Run1 Rank" dataDxfId="1">
      <calculatedColumnFormula>IFERROR(_xlfn.RANK.EQ(H2,$H$2:$H$113,1),999)</calculatedColumnFormula>
    </tableColumn>
    <tableColumn id="5" name="Run2 Rank" dataDxfId="0">
      <calculatedColumnFormula>IFERROR(_xlfn.RANK.EQ(I2,$I$2:$I$113,1),999)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7" name="U14Mcombined" displayName="U14Mcombined" ref="A3:T124" totalsRowShown="0">
  <autoFilter ref="A3:T124"/>
  <sortState ref="A4:G122">
    <sortCondition descending="1" ref="E3:E122"/>
  </sortState>
  <tableColumns count="20">
    <tableColumn id="1" name="Card"/>
    <tableColumn id="2" name="Name"/>
    <tableColumn id="3" name="YOB"/>
    <tableColumn id="4" name="Club"/>
    <tableColumn id="5" name="MW 2of3" dataDxfId="104">
      <calculatedColumnFormula>SUM(LARGE(U4:W4,{1,2}))</calculatedColumnFormula>
    </tableColumn>
    <tableColumn id="20" name="Series SL" dataDxfId="103">
      <calculatedColumnFormula>MAX(U14Mcombined[[#This Row],[pts0119]],U14Mcombined[[#This Row],[pts0118]],U14Mcombined[[#This Row],[pts0120]])</calculatedColumnFormula>
    </tableColumn>
    <tableColumn id="21" name="Series GS" dataDxfId="102">
      <calculatedColumnFormula>MAX(U14Mcombined[[#This Row],[pts0117]],U14Mcombined[[#This Row],[pts0123]])</calculatedColumnFormula>
    </tableColumn>
    <tableColumn id="10" name="pos0117" dataDxfId="101">
      <calculatedColumnFormula>IFERROR(VLOOKUP(U14Mcombined[[#This Row],[Card]],results0117[],3,FALSE),999)</calculatedColumnFormula>
    </tableColumn>
    <tableColumn id="11" name="pts0117" dataDxfId="100">
      <calculatedColumnFormula>VLOOKUP(U14Mcombined[[#This Row],[pos0117]],pointstable[],2,FALSE)</calculatedColumnFormula>
    </tableColumn>
    <tableColumn id="14" name="pos0119" dataDxfId="99">
      <calculatedColumnFormula>IFERROR(VLOOKUP(U14Mcombined[[#This Row],[Card]],results0119[],3,FALSE),999)</calculatedColumnFormula>
    </tableColumn>
    <tableColumn id="15" name="pts0119" dataDxfId="98">
      <calculatedColumnFormula>VLOOKUP(U14Mcombined[[#This Row],[pos0119]],pointstable[],2,FALSE)</calculatedColumnFormula>
    </tableColumn>
    <tableColumn id="7" name="pos0118" dataDxfId="97">
      <calculatedColumnFormula>IFERROR(VLOOKUP(U14Mcombined[[#This Row],[Card]],results0118[],3,FALSE),999)</calculatedColumnFormula>
    </tableColumn>
    <tableColumn id="8" name="pts0118" dataDxfId="96">
      <calculatedColumnFormula>VLOOKUP(U14Mcombined[[#This Row],[pos0118]],pointstable[],2,FALSE)</calculatedColumnFormula>
    </tableColumn>
    <tableColumn id="9" name="pos0123" dataDxfId="95">
      <calculatedColumnFormula>IFERROR(VLOOKUP(U14Mcombined[[#This Row],[Card]],results0123[],3,FALSE),999)</calculatedColumnFormula>
    </tableColumn>
    <tableColumn id="13" name="pts0123" dataDxfId="94">
      <calculatedColumnFormula>VLOOKUP(U14Mcombined[[#This Row],[pos0123]],pointstable[],2,FALSE)</calculatedColumnFormula>
    </tableColumn>
    <tableColumn id="17" name="pos0120" dataDxfId="93">
      <calculatedColumnFormula>IFERROR(VLOOKUP(U14Mcombined[[#This Row],[Card]],results0120[],3,FALSE),999)</calculatedColumnFormula>
    </tableColumn>
    <tableColumn id="18" name="pts0120" dataDxfId="92">
      <calculatedColumnFormula>VLOOKUP(U14Mcombined[[#This Row],[pos0120]],pointstable[],2,FALSE)</calculatedColumnFormula>
    </tableColumn>
    <tableColumn id="12" name="pos0124" dataDxfId="91">
      <calculatedColumnFormula>IFERROR(VLOOKUP(U14Mcombined[[#This Row],[Card]],results0124[],3,FALSE),999)</calculatedColumnFormula>
    </tableColumn>
    <tableColumn id="16" name="pos0140" dataDxfId="90">
      <calculatedColumnFormula>IFERROR(VLOOKUP(U14Mcombined[[#This Row],[Card]],results0140[],3,FALSE),999)</calculatedColumnFormula>
    </tableColumn>
    <tableColumn id="6" name="pos0125" dataDxfId="89">
      <calculatedColumnFormula>IFERROR(VLOOKUP(U14Mcombined[[#This Row],[Card]],results0125[],3,FALSE),999)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5" name="U14Mruns" displayName="U14Mruns" ref="A3:AB124" totalsRowShown="0">
  <autoFilter ref="A3:AB124"/>
  <sortState ref="A4:T124">
    <sortCondition descending="1" ref="F3:F124"/>
  </sortState>
  <tableColumns count="28">
    <tableColumn id="1" name="Card"/>
    <tableColumn id="2" name="Name"/>
    <tableColumn id="3" name="YOB"/>
    <tableColumn id="4" name="Club"/>
    <tableColumn id="5" name="Best SL" dataDxfId="88">
      <calculatedColumnFormula>MAX(U14Mruns[[#This Row],[pts1.0119]],U14Mruns[[#This Row],[pts2.0119]],U14Mruns[[#This Row],[pts1.0118]],U14Mruns[[#This Row],[pts2.0118]],U14Mruns[[#This Row],[pts1.0120]],U14Mruns[[#This Row],[pts2.0120]])</calculatedColumnFormula>
    </tableColumn>
    <tableColumn id="6" name="Best GS/SG" dataDxfId="87">
      <calculatedColumnFormula>MAX(U14Mruns[[#This Row],[pts1.0117]],U14Mruns[[#This Row],[pts2.0117]],U14Mruns[[#This Row],[pts0121]],U14Mruns[[#This Row],[pts1.0123]],U14Mruns[[#This Row],[pts2.0123]])</calculatedColumnFormula>
    </tableColumn>
    <tableColumn id="10" name="pos1.0117" dataDxfId="86">
      <calculatedColumnFormula>IFERROR(VLOOKUP(U14Mruns[[#This Row],[Card]],results0117[],4,FALSE),999)</calculatedColumnFormula>
    </tableColumn>
    <tableColumn id="11" name="pts1.0117" dataDxfId="85">
      <calculatedColumnFormula>VLOOKUP(U14Mruns[[#This Row],[pos1.0117]],pointstable[],2,FALSE)</calculatedColumnFormula>
    </tableColumn>
    <tableColumn id="8" name="pos2.0117" dataDxfId="84">
      <calculatedColumnFormula>IFERROR(VLOOKUP(U14Mruns[[#This Row],[Card]],results0117[],5,FALSE),999)</calculatedColumnFormula>
    </tableColumn>
    <tableColumn id="9" name="pts2.0117" dataDxfId="83">
      <calculatedColumnFormula>VLOOKUP(U14Mruns[[#This Row],[pos2.0117]],pointstable[],2,FALSE)</calculatedColumnFormula>
    </tableColumn>
    <tableColumn id="14" name="pos1.0119" dataDxfId="82">
      <calculatedColumnFormula>IFERROR(VLOOKUP(U14Mruns[[#This Row],[Card]],results0119[],4,FALSE),999)</calculatedColumnFormula>
    </tableColumn>
    <tableColumn id="15" name="pts1.0119" dataDxfId="81">
      <calculatedColumnFormula>VLOOKUP(U14Mruns[[#This Row],[pos1.0119]],pointstable[],2,FALSE)</calculatedColumnFormula>
    </tableColumn>
    <tableColumn id="12" name="pos2.0119" dataDxfId="80">
      <calculatedColumnFormula>IFERROR(VLOOKUP(U14Mruns[[#This Row],[Card]],results0119[],5,FALSE),999)</calculatedColumnFormula>
    </tableColumn>
    <tableColumn id="13" name="pts2.0119" dataDxfId="79">
      <calculatedColumnFormula>VLOOKUP(U14Mruns[[#This Row],[pos2.0119]],pointstable[],2,FALSE)</calculatedColumnFormula>
    </tableColumn>
    <tableColumn id="19" name="pos0121" dataDxfId="78">
      <calculatedColumnFormula>IFERROR(VLOOKUP(U14Mruns[[#This Row],[Card]],results0121[],3,FALSE),999)</calculatedColumnFormula>
    </tableColumn>
    <tableColumn id="20" name="pts0121" dataDxfId="77">
      <calculatedColumnFormula>VLOOKUP(U14Mruns[[#This Row],[pos0121]],pointstable[],2,FALSE)</calculatedColumnFormula>
    </tableColumn>
    <tableColumn id="7" name="pos1.0118" dataDxfId="76">
      <calculatedColumnFormula>IFERROR(VLOOKUP(U14Mruns[[#This Row],[Card]],results0118[],4,FALSE),999)</calculatedColumnFormula>
    </tableColumn>
    <tableColumn id="16" name="pts1.0118" dataDxfId="75">
      <calculatedColumnFormula>VLOOKUP(U14Mruns[[#This Row],[pos1.0118]],pointstable[],2,FALSE)</calculatedColumnFormula>
    </tableColumn>
    <tableColumn id="17" name="pos2.0118" dataDxfId="74">
      <calculatedColumnFormula>IFERROR(VLOOKUP(U14Mruns[[#This Row],[Card]],results0118[],5,FALSE),999)</calculatedColumnFormula>
    </tableColumn>
    <tableColumn id="18" name="pts2.0118" dataDxfId="73">
      <calculatedColumnFormula>VLOOKUP(U14Mruns[[#This Row],[pos2.0118]],pointstable[],2,FALSE)</calculatedColumnFormula>
    </tableColumn>
    <tableColumn id="21" name="pos1.0123" dataDxfId="72">
      <calculatedColumnFormula>IFERROR(VLOOKUP(U14Mruns[[#This Row],[Card]],results0123[],4,FALSE),999)</calculatedColumnFormula>
    </tableColumn>
    <tableColumn id="22" name="pts1.0123" dataDxfId="71">
      <calculatedColumnFormula>VLOOKUP(U14Mruns[[#This Row],[pos1.0123]],pointstable[],2,FALSE)</calculatedColumnFormula>
    </tableColumn>
    <tableColumn id="23" name="pos2.0123" dataDxfId="70">
      <calculatedColumnFormula>IFERROR(VLOOKUP(U14Mruns[[#This Row],[Card]],results0123[],5,FALSE),999)</calculatedColumnFormula>
    </tableColumn>
    <tableColumn id="24" name="pts2.0123" dataDxfId="69">
      <calculatedColumnFormula>VLOOKUP(U14Mruns[[#This Row],[pos2.0123]],pointstable[],2,FALSE)</calculatedColumnFormula>
    </tableColumn>
    <tableColumn id="25" name="pos1.0120" dataDxfId="68">
      <calculatedColumnFormula>IFERROR(VLOOKUP(U14Mruns[[#This Row],[Card]],results0120[],4,FALSE),999)</calculatedColumnFormula>
    </tableColumn>
    <tableColumn id="26" name="pts1.0120" dataDxfId="67">
      <calculatedColumnFormula>VLOOKUP(U14Mruns[[#This Row],[pos1.0120]],pointstable[],2,FALSE)</calculatedColumnFormula>
    </tableColumn>
    <tableColumn id="27" name="pos2.0120" dataDxfId="66">
      <calculatedColumnFormula>IFERROR(VLOOKUP(U14Mruns[[#This Row],[Card]],results0120[],5,FALSE),999)</calculatedColumnFormula>
    </tableColumn>
    <tableColumn id="28" name="pts2.0120" dataDxfId="65">
      <calculatedColumnFormula>VLOOKUP(U14Mruns[[#This Row],[pos2.0120]],pointstable[],2,FALSE)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3" name="U14MMWruns" displayName="U14MMWruns" ref="A3:L124" totalsRowShown="0">
  <autoFilter ref="A3:L124"/>
  <sortState ref="A4:L124">
    <sortCondition descending="1" ref="E3:E124"/>
  </sortState>
  <tableColumns count="12">
    <tableColumn id="1" name="Card"/>
    <tableColumn id="2" name="Name"/>
    <tableColumn id="3" name="YOB"/>
    <tableColumn id="4" name="Club"/>
    <tableColumn id="5" name="Best 5 of 7" dataDxfId="64">
      <calculatedColumnFormula>SUM(LARGE(M4:S4,{1,2,3,4,5}))</calculatedColumnFormula>
    </tableColumn>
    <tableColumn id="12" name="pos1.0124" dataDxfId="63">
      <calculatedColumnFormula>IFERROR(VLOOKUP(U14MMWruns[[#This Row],[Card]],results0124[],4,FALSE),999)</calculatedColumnFormula>
    </tableColumn>
    <tableColumn id="8" name="POS2.0124" dataDxfId="62">
      <calculatedColumnFormula>IFERROR(VLOOKUP(U14MMWruns[[#This Row],[Card]],results0124[],5,FALSE),999)</calculatedColumnFormula>
    </tableColumn>
    <tableColumn id="16" name="pos1.0140" dataDxfId="61">
      <calculatedColumnFormula>IFERROR(VLOOKUP(U14MMWruns[[#This Row],[Card]],results0140[],4,FALSE),999)</calculatedColumnFormula>
    </tableColumn>
    <tableColumn id="10" name="pos2.0140" dataDxfId="60">
      <calculatedColumnFormula>IFERROR(VLOOKUP(U14MMWruns[[#This Row],[Card]],results0140[],5,FALSE),999)</calculatedColumnFormula>
    </tableColumn>
    <tableColumn id="6" name="pos1.0125" dataDxfId="59">
      <calculatedColumnFormula>IFERROR(VLOOKUP(U14MMWruns[[#This Row],[Card]],results0125[],4,FALSE),999)</calculatedColumnFormula>
    </tableColumn>
    <tableColumn id="14" name="pos2.025" dataDxfId="58">
      <calculatedColumnFormula>IFERROR(VLOOKUP(U14MMWruns[[#This Row],[Card]],results0125[],5,FALSE),999)</calculatedColumnFormula>
    </tableColumn>
    <tableColumn id="19" name="pos0122" dataDxfId="57">
      <calculatedColumnFormula>IFERROR(VLOOKUP(U14MMWruns[[#This Row],[Card]],results0122[],3,FALSE),999)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1" name="pointstable" displayName="pointstable" ref="A2:B153" totalsRowShown="0" tableBorderDxfId="56">
  <autoFilter ref="A2:B153"/>
  <tableColumns count="2">
    <tableColumn id="1" name="Position" dataDxfId="55"/>
    <tableColumn id="2" name="Points" dataDxfId="54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13" name="results0118" displayName="results0118" ref="M1:Q114" totalsRowShown="0" headerRowDxfId="53">
  <autoFilter ref="M1:Q114"/>
  <tableColumns count="5">
    <tableColumn id="1" name="Card" dataDxfId="52">
      <calculatedColumnFormula>B2</calculatedColumnFormula>
    </tableColumn>
    <tableColumn id="2" name="In List" dataDxfId="51">
      <calculatedColumnFormula>IF(AND(A2&gt;0,A2&lt;999),IFERROR(VLOOKUP(results0118[[#This Row],[Card]],U14M[],1,FALSE),0),0)</calculatedColumnFormula>
    </tableColumn>
    <tableColumn id="3" name="Rank" dataDxfId="50">
      <calculatedColumnFormula>A2</calculatedColumnFormula>
    </tableColumn>
    <tableColumn id="4" name="Run1 Rank" dataDxfId="49">
      <calculatedColumnFormula>IFERROR(_xlfn.RANK.EQ(H2,$H$2:$H$114,1),999)</calculatedColumnFormula>
    </tableColumn>
    <tableColumn id="5" name="Run 2 Rank" dataDxfId="48">
      <calculatedColumnFormula>IFERROR(_xlfn.RANK.EQ(I2,$I$2:$I$114,1),999)</calculatedColumnFormula>
    </tableColumn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10" name="results0117" displayName="results0117" ref="N1:R116" totalsRowShown="0" headerRowDxfId="47">
  <autoFilter ref="N1:R116"/>
  <tableColumns count="5">
    <tableColumn id="1" name="Card" dataDxfId="46">
      <calculatedColumnFormula>B2</calculatedColumnFormula>
    </tableColumn>
    <tableColumn id="2" name="In List" dataDxfId="45">
      <calculatedColumnFormula>IF(AND(A2&gt;0,A2&lt;999),IFERROR(VLOOKUP(results0117[[#This Row],[Card]],U14M[],1,FALSE),0),0)</calculatedColumnFormula>
    </tableColumn>
    <tableColumn id="3" name="Rank" dataDxfId="44">
      <calculatedColumnFormula>A2</calculatedColumnFormula>
    </tableColumn>
    <tableColumn id="4" name="Run1 Rank" dataDxfId="43">
      <calculatedColumnFormula>IFERROR(_xlfn.RANK.EQ(H2,$H$2:$H$116,1),999)</calculatedColumnFormula>
    </tableColumn>
    <tableColumn id="5" name="Run2 Rank" dataDxfId="42">
      <calculatedColumnFormula>IFERROR(_xlfn.RANK.EQ(I2,$I$2:$I$116,1),999)</calculatedColumnFormula>
    </tableColumn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12" name="results0119" displayName="results0119" ref="N1:R114" totalsRowShown="0" headerRowDxfId="41">
  <autoFilter ref="N1:R114"/>
  <tableColumns count="5">
    <tableColumn id="1" name="Card" dataDxfId="40">
      <calculatedColumnFormula>B2</calculatedColumnFormula>
    </tableColumn>
    <tableColumn id="2" name="In List" dataDxfId="39">
      <calculatedColumnFormula>IF(AND(A2&gt;0,A2&lt;999),IFERROR(VLOOKUP(results0119[[#This Row],[Card]],U14M[],1,FALSE),0),0)</calculatedColumnFormula>
    </tableColumn>
    <tableColumn id="3" name="Rank" dataDxfId="38">
      <calculatedColumnFormula>A2</calculatedColumnFormula>
    </tableColumn>
    <tableColumn id="4" name="Run1 Rank" dataDxfId="37">
      <calculatedColumnFormula>IFERROR(_xlfn.RANK.EQ(H2,$H$2:$H$114,1),999)</calculatedColumnFormula>
    </tableColumn>
    <tableColumn id="5" name="Run2 Rank" dataDxfId="36">
      <calculatedColumnFormula>IFERROR(_xlfn.RANK.EQ(I2,$I$2:$I$114,1),999)</calculatedColumnFormula>
    </tableColumn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14" name="results0121" displayName="results0121" ref="N1:P90" totalsRowShown="0" headerRowDxfId="35">
  <autoFilter ref="N1:P90"/>
  <tableColumns count="3">
    <tableColumn id="1" name="Card" dataDxfId="34">
      <calculatedColumnFormula>B2</calculatedColumnFormula>
    </tableColumn>
    <tableColumn id="2" name="In List" dataDxfId="33">
      <calculatedColumnFormula>IF(AND(A2&gt;0,A2&lt;999),IFERROR(VLOOKUP(results0121[[#This Row],[Card]],U14M[],1,FALSE),0),0)</calculatedColumnFormula>
    </tableColumn>
    <tableColumn id="3" name="Rank" dataDxfId="32">
      <calculatedColumnFormula>A2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workbookViewId="0">
      <selection activeCell="G54" sqref="G54"/>
    </sheetView>
  </sheetViews>
  <sheetFormatPr defaultRowHeight="15" x14ac:dyDescent="0.25"/>
  <cols>
    <col min="1" max="1" width="3" bestFit="1" customWidth="1"/>
    <col min="3" max="3" width="26.5703125" bestFit="1" customWidth="1"/>
    <col min="4" max="4" width="6.28515625" customWidth="1"/>
    <col min="5" max="5" width="7" bestFit="1" customWidth="1"/>
    <col min="6" max="6" width="9.7109375" bestFit="1" customWidth="1"/>
    <col min="7" max="7" width="9.42578125" customWidth="1"/>
    <col min="8" max="8" width="9.42578125" bestFit="1" customWidth="1"/>
    <col min="9" max="9" width="15.28515625" bestFit="1" customWidth="1"/>
    <col min="10" max="10" width="16.5703125" bestFit="1" customWidth="1"/>
    <col min="11" max="11" width="21.28515625" bestFit="1" customWidth="1"/>
    <col min="12" max="12" width="16.5703125" bestFit="1" customWidth="1"/>
    <col min="13" max="13" width="13.28515625" bestFit="1" customWidth="1"/>
  </cols>
  <sheetData>
    <row r="1" spans="1:12" x14ac:dyDescent="0.2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x14ac:dyDescent="0.25">
      <c r="G2" s="38" t="s">
        <v>732</v>
      </c>
      <c r="H2" s="38"/>
      <c r="I2" s="38"/>
      <c r="J2" s="38"/>
    </row>
    <row r="3" spans="1:12" x14ac:dyDescent="0.25">
      <c r="B3" t="s">
        <v>3</v>
      </c>
      <c r="C3" t="s">
        <v>4</v>
      </c>
      <c r="D3" t="s">
        <v>7</v>
      </c>
      <c r="E3" t="s">
        <v>5</v>
      </c>
      <c r="F3" t="s">
        <v>6</v>
      </c>
      <c r="G3" s="36" t="s">
        <v>607</v>
      </c>
      <c r="H3" s="36" t="s">
        <v>608</v>
      </c>
      <c r="I3" s="36" t="s">
        <v>633</v>
      </c>
      <c r="J3" s="36" t="s">
        <v>634</v>
      </c>
      <c r="K3" t="s">
        <v>731</v>
      </c>
      <c r="L3" t="s">
        <v>730</v>
      </c>
    </row>
    <row r="4" spans="1:12" x14ac:dyDescent="0.25">
      <c r="A4" s="41">
        <v>1</v>
      </c>
      <c r="B4" s="41">
        <v>78517</v>
      </c>
      <c r="C4" s="41" t="s">
        <v>14</v>
      </c>
      <c r="D4" s="41" t="s">
        <v>15</v>
      </c>
      <c r="E4" s="41">
        <v>4</v>
      </c>
      <c r="F4" s="42">
        <f>SUM(U14M[[#This Row],[Best SL]:[MW 5 of 7 Runs]])</f>
        <v>4250</v>
      </c>
      <c r="G4">
        <f>VLOOKUP(U14M[[#This Row],[Card]],U14Mcombined[],6,FALSE)</f>
        <v>500</v>
      </c>
      <c r="H4">
        <f>VLOOKUP(U14M[[#This Row],[Card]],U14Mcombined[],7,FALSE)</f>
        <v>400</v>
      </c>
      <c r="I4">
        <f>VLOOKUP(U14M[[#This Row],[Card]],U14Mruns[],5,FALSE)</f>
        <v>500</v>
      </c>
      <c r="J4">
        <f>VLOOKUP(U14M[[#This Row],[Card]],U14Mruns[],6,FALSE)</f>
        <v>500</v>
      </c>
      <c r="K4">
        <f>VLOOKUP(U14M[[#This Row],[Card]],U14Mcombined[],5,FALSE)</f>
        <v>800</v>
      </c>
      <c r="L4">
        <f>VLOOKUP(U14M[[#This Row],[Card]],U14MMWruns[],5,FALSE)</f>
        <v>1550</v>
      </c>
    </row>
    <row r="5" spans="1:12" x14ac:dyDescent="0.25">
      <c r="A5" s="41">
        <v>2</v>
      </c>
      <c r="B5" s="41">
        <v>81073</v>
      </c>
      <c r="C5" s="41" t="s">
        <v>40</v>
      </c>
      <c r="D5" s="41" t="s">
        <v>15</v>
      </c>
      <c r="E5" s="41">
        <v>4</v>
      </c>
      <c r="F5" s="42">
        <f>SUM(U14M[[#This Row],[Best SL]:[MW 5 of 7 Runs]])</f>
        <v>3741</v>
      </c>
      <c r="G5">
        <f>VLOOKUP(U14M[[#This Row],[Card]],U14Mcombined[],6,FALSE)</f>
        <v>300</v>
      </c>
      <c r="H5">
        <f>VLOOKUP(U14M[[#This Row],[Card]],U14Mcombined[],7,FALSE)</f>
        <v>500</v>
      </c>
      <c r="I5">
        <f>VLOOKUP(U14M[[#This Row],[Card]],U14Mruns[],5,FALSE)</f>
        <v>500</v>
      </c>
      <c r="J5">
        <f>VLOOKUP(U14M[[#This Row],[Card]],U14Mruns[],6,FALSE)</f>
        <v>400</v>
      </c>
      <c r="K5">
        <f>VLOOKUP(U14M[[#This Row],[Card]],U14Mcombined[],5,FALSE)</f>
        <v>560</v>
      </c>
      <c r="L5">
        <f>VLOOKUP(U14M[[#This Row],[Card]],U14MMWruns[],5,FALSE)</f>
        <v>1481</v>
      </c>
    </row>
    <row r="6" spans="1:12" x14ac:dyDescent="0.25">
      <c r="A6" s="41">
        <v>3</v>
      </c>
      <c r="B6" s="41">
        <v>77368</v>
      </c>
      <c r="C6" s="41" t="s">
        <v>35</v>
      </c>
      <c r="D6" s="41" t="s">
        <v>15</v>
      </c>
      <c r="E6" s="41">
        <v>4</v>
      </c>
      <c r="F6" s="42">
        <f>SUM(U14M[[#This Row],[Best SL]:[MW 5 of 7 Runs]])</f>
        <v>3600</v>
      </c>
      <c r="G6">
        <f>VLOOKUP(U14M[[#This Row],[Card]],U14Mcombined[],6,FALSE)</f>
        <v>500</v>
      </c>
      <c r="H6">
        <f>VLOOKUP(U14M[[#This Row],[Card]],U14Mcombined[],7,FALSE)</f>
        <v>500</v>
      </c>
      <c r="I6">
        <f>VLOOKUP(U14M[[#This Row],[Card]],U14Mruns[],5,FALSE)</f>
        <v>500</v>
      </c>
      <c r="J6">
        <f>VLOOKUP(U14M[[#This Row],[Card]],U14Mruns[],6,FALSE)</f>
        <v>500</v>
      </c>
      <c r="K6">
        <f>VLOOKUP(U14M[[#This Row],[Card]],U14Mcombined[],5,FALSE)</f>
        <v>425</v>
      </c>
      <c r="L6">
        <f>VLOOKUP(U14M[[#This Row],[Card]],U14MMWruns[],5,FALSE)</f>
        <v>1175</v>
      </c>
    </row>
    <row r="7" spans="1:12" x14ac:dyDescent="0.25">
      <c r="A7" s="41">
        <v>4</v>
      </c>
      <c r="B7" s="41">
        <v>80713</v>
      </c>
      <c r="C7" s="41" t="s">
        <v>21</v>
      </c>
      <c r="D7" s="41" t="s">
        <v>22</v>
      </c>
      <c r="E7" s="41">
        <v>4</v>
      </c>
      <c r="F7" s="42">
        <f>SUM(U14M[[#This Row],[Best SL]:[MW 5 of 7 Runs]])</f>
        <v>3375</v>
      </c>
      <c r="G7">
        <f>VLOOKUP(U14M[[#This Row],[Card]],U14Mcombined[],6,FALSE)</f>
        <v>400</v>
      </c>
      <c r="H7">
        <f>VLOOKUP(U14M[[#This Row],[Card]],U14Mcombined[],7,FALSE)</f>
        <v>200</v>
      </c>
      <c r="I7">
        <f>VLOOKUP(U14M[[#This Row],[Card]],U14Mruns[],5,FALSE)</f>
        <v>500</v>
      </c>
      <c r="J7">
        <f>VLOOKUP(U14M[[#This Row],[Card]],U14Mruns[],6,FALSE)</f>
        <v>180</v>
      </c>
      <c r="K7">
        <f>VLOOKUP(U14M[[#This Row],[Card]],U14Mcombined[],5,FALSE)</f>
        <v>450</v>
      </c>
      <c r="L7">
        <f>VLOOKUP(U14M[[#This Row],[Card]],U14MMWruns[],5,FALSE)</f>
        <v>1645</v>
      </c>
    </row>
    <row r="8" spans="1:12" x14ac:dyDescent="0.25">
      <c r="A8" s="41">
        <v>5</v>
      </c>
      <c r="B8" s="41">
        <v>80680</v>
      </c>
      <c r="C8" s="41" t="s">
        <v>28</v>
      </c>
      <c r="D8" s="41" t="s">
        <v>15</v>
      </c>
      <c r="E8" s="41">
        <v>4</v>
      </c>
      <c r="F8" s="42">
        <f>SUM(U14M[[#This Row],[Best SL]:[MW 5 of 7 Runs]])</f>
        <v>3200</v>
      </c>
      <c r="G8">
        <f>VLOOKUP(U14M[[#This Row],[Card]],U14Mcombined[],6,FALSE)</f>
        <v>400</v>
      </c>
      <c r="H8">
        <f>VLOOKUP(U14M[[#This Row],[Card]],U14Mcombined[],7,FALSE)</f>
        <v>400</v>
      </c>
      <c r="I8">
        <f>VLOOKUP(U14M[[#This Row],[Card]],U14Mruns[],5,FALSE)</f>
        <v>400</v>
      </c>
      <c r="J8">
        <f>VLOOKUP(U14M[[#This Row],[Card]],U14Mruns[],6,FALSE)</f>
        <v>500</v>
      </c>
      <c r="K8">
        <f>VLOOKUP(U14M[[#This Row],[Card]],U14Mcombined[],5,FALSE)</f>
        <v>430</v>
      </c>
      <c r="L8">
        <f>VLOOKUP(U14M[[#This Row],[Card]],U14MMWruns[],5,FALSE)</f>
        <v>1070</v>
      </c>
    </row>
    <row r="9" spans="1:12" x14ac:dyDescent="0.25">
      <c r="A9" s="41">
        <v>6</v>
      </c>
      <c r="B9" s="41">
        <v>80698</v>
      </c>
      <c r="C9" s="41" t="s">
        <v>30</v>
      </c>
      <c r="D9" s="41" t="s">
        <v>31</v>
      </c>
      <c r="E9" s="41">
        <v>4</v>
      </c>
      <c r="F9" s="42">
        <f>SUM(U14M[[#This Row],[Best SL]:[MW 5 of 7 Runs]])</f>
        <v>2880</v>
      </c>
      <c r="G9">
        <f>VLOOKUP(U14M[[#This Row],[Card]],U14Mcombined[],6,FALSE)</f>
        <v>200</v>
      </c>
      <c r="H9">
        <f>VLOOKUP(U14M[[#This Row],[Card]],U14Mcombined[],7,FALSE)</f>
        <v>0</v>
      </c>
      <c r="I9">
        <f>VLOOKUP(U14M[[#This Row],[Card]],U14Mruns[],5,FALSE)</f>
        <v>300</v>
      </c>
      <c r="J9">
        <f>VLOOKUP(U14M[[#This Row],[Card]],U14Mruns[],6,FALSE)</f>
        <v>200</v>
      </c>
      <c r="K9">
        <f>VLOOKUP(U14M[[#This Row],[Card]],U14Mcombined[],5,FALSE)</f>
        <v>800</v>
      </c>
      <c r="L9">
        <f>VLOOKUP(U14M[[#This Row],[Card]],U14MMWruns[],5,FALSE)</f>
        <v>1380</v>
      </c>
    </row>
    <row r="10" spans="1:12" x14ac:dyDescent="0.25">
      <c r="A10" s="41">
        <v>7</v>
      </c>
      <c r="B10" s="41">
        <v>80709</v>
      </c>
      <c r="C10" s="41" t="s">
        <v>24</v>
      </c>
      <c r="D10" s="41" t="s">
        <v>22</v>
      </c>
      <c r="E10" s="41">
        <v>5</v>
      </c>
      <c r="F10" s="42">
        <f>SUM(U14M[[#This Row],[Best SL]:[MW 5 of 7 Runs]])</f>
        <v>2444</v>
      </c>
      <c r="G10">
        <f>VLOOKUP(U14M[[#This Row],[Card]],U14Mcombined[],6,FALSE)</f>
        <v>225</v>
      </c>
      <c r="H10">
        <f>VLOOKUP(U14M[[#This Row],[Card]],U14Mcombined[],7,FALSE)</f>
        <v>250</v>
      </c>
      <c r="I10">
        <f>VLOOKUP(U14M[[#This Row],[Card]],U14Mruns[],5,FALSE)</f>
        <v>300</v>
      </c>
      <c r="J10">
        <f>VLOOKUP(U14M[[#This Row],[Card]],U14Mruns[],6,FALSE)</f>
        <v>300</v>
      </c>
      <c r="K10">
        <f>VLOOKUP(U14M[[#This Row],[Card]],U14Mcombined[],5,FALSE)</f>
        <v>345</v>
      </c>
      <c r="L10">
        <f>VLOOKUP(U14M[[#This Row],[Card]],U14MMWruns[],5,FALSE)</f>
        <v>1024</v>
      </c>
    </row>
    <row r="11" spans="1:12" x14ac:dyDescent="0.25">
      <c r="A11" s="41">
        <v>8</v>
      </c>
      <c r="B11" s="41">
        <v>80621</v>
      </c>
      <c r="C11" s="41" t="s">
        <v>18</v>
      </c>
      <c r="D11" s="41" t="s">
        <v>19</v>
      </c>
      <c r="E11" s="41">
        <v>4</v>
      </c>
      <c r="F11" s="42">
        <f>SUM(U14M[[#This Row],[Best SL]:[MW 5 of 7 Runs]])</f>
        <v>2250</v>
      </c>
      <c r="G11">
        <f>VLOOKUP(U14M[[#This Row],[Card]],U14Mcombined[],6,FALSE)</f>
        <v>145</v>
      </c>
      <c r="H11">
        <f>VLOOKUP(U14M[[#This Row],[Card]],U14Mcombined[],7,FALSE)</f>
        <v>55</v>
      </c>
      <c r="I11">
        <f>VLOOKUP(U14M[[#This Row],[Card]],U14Mruns[],5,FALSE)</f>
        <v>300</v>
      </c>
      <c r="J11">
        <f>VLOOKUP(U14M[[#This Row],[Card]],U14Mruns[],6,FALSE)</f>
        <v>180</v>
      </c>
      <c r="K11">
        <f>VLOOKUP(U14M[[#This Row],[Card]],U14Mcombined[],5,FALSE)</f>
        <v>300</v>
      </c>
      <c r="L11">
        <f>VLOOKUP(U14M[[#This Row],[Card]],U14MMWruns[],5,FALSE)</f>
        <v>1270</v>
      </c>
    </row>
    <row r="12" spans="1:12" x14ac:dyDescent="0.25">
      <c r="A12" s="41">
        <v>9</v>
      </c>
      <c r="B12" s="41">
        <v>78200</v>
      </c>
      <c r="C12" s="41" t="s">
        <v>49</v>
      </c>
      <c r="D12" s="41" t="s">
        <v>31</v>
      </c>
      <c r="E12" s="41">
        <v>5</v>
      </c>
      <c r="F12" s="42">
        <f>SUM(U14M[[#This Row],[Best SL]:[MW 5 of 7 Runs]])</f>
        <v>2175</v>
      </c>
      <c r="G12">
        <f>VLOOKUP(U14M[[#This Row],[Card]],U14Mcombined[],6,FALSE)</f>
        <v>200</v>
      </c>
      <c r="H12">
        <f>VLOOKUP(U14M[[#This Row],[Card]],U14Mcombined[],7,FALSE)</f>
        <v>225</v>
      </c>
      <c r="I12">
        <f>VLOOKUP(U14M[[#This Row],[Card]],U14Mruns[],5,FALSE)</f>
        <v>400</v>
      </c>
      <c r="J12">
        <f>VLOOKUP(U14M[[#This Row],[Card]],U14Mruns[],6,FALSE)</f>
        <v>250</v>
      </c>
      <c r="K12">
        <f>VLOOKUP(U14M[[#This Row],[Card]],U14Mcombined[],5,FALSE)</f>
        <v>130</v>
      </c>
      <c r="L12">
        <f>VLOOKUP(U14M[[#This Row],[Card]],U14MMWruns[],5,FALSE)</f>
        <v>970</v>
      </c>
    </row>
    <row r="13" spans="1:12" x14ac:dyDescent="0.25">
      <c r="A13" s="41">
        <v>10</v>
      </c>
      <c r="B13" s="41">
        <v>80685</v>
      </c>
      <c r="C13" s="41" t="s">
        <v>74</v>
      </c>
      <c r="D13" s="41" t="s">
        <v>15</v>
      </c>
      <c r="E13" s="41">
        <v>4</v>
      </c>
      <c r="F13" s="42">
        <f>SUM(U14M[[#This Row],[Best SL]:[MW 5 of 7 Runs]])</f>
        <v>1993</v>
      </c>
      <c r="G13">
        <f>VLOOKUP(U14M[[#This Row],[Card]],U14Mcombined[],6,FALSE)</f>
        <v>180</v>
      </c>
      <c r="H13">
        <f>VLOOKUP(U14M[[#This Row],[Card]],U14Mcombined[],7,FALSE)</f>
        <v>145</v>
      </c>
      <c r="I13">
        <f>VLOOKUP(U14M[[#This Row],[Card]],U14Mruns[],5,FALSE)</f>
        <v>225</v>
      </c>
      <c r="J13">
        <f>VLOOKUP(U14M[[#This Row],[Card]],U14Mruns[],6,FALSE)</f>
        <v>120</v>
      </c>
      <c r="K13">
        <f>VLOOKUP(U14M[[#This Row],[Card]],U14Mcombined[],5,FALSE)</f>
        <v>465</v>
      </c>
      <c r="L13">
        <f>VLOOKUP(U14M[[#This Row],[Card]],U14MMWruns[],5,FALSE)</f>
        <v>858</v>
      </c>
    </row>
    <row r="14" spans="1:12" x14ac:dyDescent="0.25">
      <c r="A14" s="41">
        <v>11</v>
      </c>
      <c r="B14" s="41">
        <v>82440</v>
      </c>
      <c r="C14" s="41" t="s">
        <v>56</v>
      </c>
      <c r="D14" s="41" t="s">
        <v>15</v>
      </c>
      <c r="E14" s="41">
        <v>4</v>
      </c>
      <c r="F14" s="42">
        <f>SUM(U14M[[#This Row],[Best SL]:[MW 5 of 7 Runs]])</f>
        <v>1947</v>
      </c>
      <c r="G14">
        <f>VLOOKUP(U14M[[#This Row],[Card]],U14Mcombined[],6,FALSE)</f>
        <v>160</v>
      </c>
      <c r="H14">
        <f>VLOOKUP(U14M[[#This Row],[Card]],U14Mcombined[],7,FALSE)</f>
        <v>31</v>
      </c>
      <c r="I14">
        <f>VLOOKUP(U14M[[#This Row],[Card]],U14Mruns[],5,FALSE)</f>
        <v>180</v>
      </c>
      <c r="J14">
        <f>VLOOKUP(U14M[[#This Row],[Card]],U14Mruns[],6,FALSE)</f>
        <v>31</v>
      </c>
      <c r="K14">
        <f>VLOOKUP(U14M[[#This Row],[Card]],U14Mcombined[],5,FALSE)</f>
        <v>400</v>
      </c>
      <c r="L14">
        <f>VLOOKUP(U14M[[#This Row],[Card]],U14MMWruns[],5,FALSE)</f>
        <v>1145</v>
      </c>
    </row>
    <row r="15" spans="1:12" x14ac:dyDescent="0.25">
      <c r="A15" s="41">
        <v>12</v>
      </c>
      <c r="B15" s="41">
        <v>80717</v>
      </c>
      <c r="C15" s="41" t="s">
        <v>26</v>
      </c>
      <c r="D15" s="41" t="s">
        <v>22</v>
      </c>
      <c r="E15" s="41">
        <v>4</v>
      </c>
      <c r="F15" s="42">
        <f>SUM(U14M[[#This Row],[Best SL]:[MW 5 of 7 Runs]])</f>
        <v>1910</v>
      </c>
      <c r="G15">
        <f>VLOOKUP(U14M[[#This Row],[Card]],U14Mcombined[],6,FALSE)</f>
        <v>110</v>
      </c>
      <c r="H15">
        <f>VLOOKUP(U14M[[#This Row],[Card]],U14Mcombined[],7,FALSE)</f>
        <v>300</v>
      </c>
      <c r="I15">
        <f>VLOOKUP(U14M[[#This Row],[Card]],U14Mruns[],5,FALSE)</f>
        <v>160</v>
      </c>
      <c r="J15">
        <f>VLOOKUP(U14M[[#This Row],[Card]],U14Mruns[],6,FALSE)</f>
        <v>300</v>
      </c>
      <c r="K15">
        <f>VLOOKUP(U14M[[#This Row],[Card]],U14Mcombined[],5,FALSE)</f>
        <v>255</v>
      </c>
      <c r="L15">
        <f>VLOOKUP(U14M[[#This Row],[Card]],U14MMWruns[],5,FALSE)</f>
        <v>785</v>
      </c>
    </row>
    <row r="16" spans="1:12" x14ac:dyDescent="0.25">
      <c r="A16" s="41">
        <v>13</v>
      </c>
      <c r="B16" s="41">
        <v>84829</v>
      </c>
      <c r="C16" s="41" t="s">
        <v>68</v>
      </c>
      <c r="D16" s="41" t="s">
        <v>15</v>
      </c>
      <c r="E16" s="41">
        <v>5</v>
      </c>
      <c r="F16" s="42">
        <f>SUM(U14M[[#This Row],[Best SL]:[MW 5 of 7 Runs]])</f>
        <v>1840</v>
      </c>
      <c r="G16">
        <f>VLOOKUP(U14M[[#This Row],[Card]],U14Mcombined[],6,FALSE)</f>
        <v>145</v>
      </c>
      <c r="H16">
        <f>VLOOKUP(U14M[[#This Row],[Card]],U14Mcombined[],7,FALSE)</f>
        <v>145</v>
      </c>
      <c r="I16">
        <f>VLOOKUP(U14M[[#This Row],[Card]],U14Mruns[],5,FALSE)</f>
        <v>250</v>
      </c>
      <c r="J16">
        <f>VLOOKUP(U14M[[#This Row],[Card]],U14Mruns[],6,FALSE)</f>
        <v>250</v>
      </c>
      <c r="K16">
        <f>VLOOKUP(U14M[[#This Row],[Card]],U14Mcombined[],5,FALSE)</f>
        <v>430</v>
      </c>
      <c r="L16">
        <f>VLOOKUP(U14M[[#This Row],[Card]],U14MMWruns[],5,FALSE)</f>
        <v>620</v>
      </c>
    </row>
    <row r="17" spans="1:12" x14ac:dyDescent="0.25">
      <c r="A17" s="41">
        <v>14</v>
      </c>
      <c r="B17" s="41">
        <v>75018</v>
      </c>
      <c r="C17" s="41" t="s">
        <v>60</v>
      </c>
      <c r="D17" s="41" t="s">
        <v>61</v>
      </c>
      <c r="E17" s="41">
        <v>4</v>
      </c>
      <c r="F17" s="42">
        <f>SUM(U14M[[#This Row],[Best SL]:[MW 5 of 7 Runs]])</f>
        <v>1797</v>
      </c>
      <c r="G17">
        <f>VLOOKUP(U14M[[#This Row],[Card]],U14Mcombined[],6,FALSE)</f>
        <v>200</v>
      </c>
      <c r="H17">
        <f>VLOOKUP(U14M[[#This Row],[Card]],U14Mcombined[],7,FALSE)</f>
        <v>120</v>
      </c>
      <c r="I17">
        <f>VLOOKUP(U14M[[#This Row],[Card]],U14Mruns[],5,FALSE)</f>
        <v>160</v>
      </c>
      <c r="J17">
        <f>VLOOKUP(U14M[[#This Row],[Card]],U14Mruns[],6,FALSE)</f>
        <v>90</v>
      </c>
      <c r="K17">
        <f>VLOOKUP(U14M[[#This Row],[Card]],U14Mcombined[],5,FALSE)</f>
        <v>555</v>
      </c>
      <c r="L17">
        <f>VLOOKUP(U14M[[#This Row],[Card]],U14MMWruns[],5,FALSE)</f>
        <v>672</v>
      </c>
    </row>
    <row r="18" spans="1:12" x14ac:dyDescent="0.25">
      <c r="A18" s="41">
        <v>15</v>
      </c>
      <c r="B18" s="41">
        <v>80722</v>
      </c>
      <c r="C18" s="41" t="s">
        <v>33</v>
      </c>
      <c r="D18" s="41" t="s">
        <v>22</v>
      </c>
      <c r="E18" s="41">
        <v>4</v>
      </c>
      <c r="F18" s="42">
        <f>SUM(U14M[[#This Row],[Best SL]:[MW 5 of 7 Runs]])</f>
        <v>1735</v>
      </c>
      <c r="G18">
        <f>VLOOKUP(U14M[[#This Row],[Card]],U14Mcombined[],6,FALSE)</f>
        <v>55</v>
      </c>
      <c r="H18">
        <f>VLOOKUP(U14M[[#This Row],[Card]],U14Mcombined[],7,FALSE)</f>
        <v>250</v>
      </c>
      <c r="I18">
        <f>VLOOKUP(U14M[[#This Row],[Card]],U14Mruns[],5,FALSE)</f>
        <v>90</v>
      </c>
      <c r="J18">
        <f>VLOOKUP(U14M[[#This Row],[Card]],U14Mruns[],6,FALSE)</f>
        <v>400</v>
      </c>
      <c r="K18">
        <f>VLOOKUP(U14M[[#This Row],[Card]],U14Mcombined[],5,FALSE)</f>
        <v>330</v>
      </c>
      <c r="L18">
        <f>VLOOKUP(U14M[[#This Row],[Card]],U14MMWruns[],5,FALSE)</f>
        <v>610</v>
      </c>
    </row>
    <row r="19" spans="1:12" x14ac:dyDescent="0.25">
      <c r="A19" s="41">
        <v>16</v>
      </c>
      <c r="B19" s="41">
        <v>80669</v>
      </c>
      <c r="C19" s="41" t="s">
        <v>70</v>
      </c>
      <c r="D19" s="41" t="s">
        <v>15</v>
      </c>
      <c r="E19" s="41">
        <v>4</v>
      </c>
      <c r="F19" s="42">
        <f>SUM(U14M[[#This Row],[Best SL]:[MW 5 of 7 Runs]])</f>
        <v>1552</v>
      </c>
      <c r="G19">
        <f>VLOOKUP(U14M[[#This Row],[Card]],U14Mcombined[],6,FALSE)</f>
        <v>250</v>
      </c>
      <c r="H19">
        <f>VLOOKUP(U14M[[#This Row],[Card]],U14Mcombined[],7,FALSE)</f>
        <v>70</v>
      </c>
      <c r="I19">
        <f>VLOOKUP(U14M[[#This Row],[Card]],U14Mruns[],5,FALSE)</f>
        <v>225</v>
      </c>
      <c r="J19">
        <f>VLOOKUP(U14M[[#This Row],[Card]],U14Mruns[],6,FALSE)</f>
        <v>90</v>
      </c>
      <c r="K19">
        <f>VLOOKUP(U14M[[#This Row],[Card]],U14Mcombined[],5,FALSE)</f>
        <v>280</v>
      </c>
      <c r="L19">
        <f>VLOOKUP(U14M[[#This Row],[Card]],U14MMWruns[],5,FALSE)</f>
        <v>637</v>
      </c>
    </row>
    <row r="20" spans="1:12" x14ac:dyDescent="0.25">
      <c r="A20" s="41">
        <v>17</v>
      </c>
      <c r="B20" s="41">
        <v>82431</v>
      </c>
      <c r="C20" s="41" t="s">
        <v>41</v>
      </c>
      <c r="D20" s="41" t="s">
        <v>42</v>
      </c>
      <c r="E20" s="41">
        <v>4</v>
      </c>
      <c r="F20" s="42">
        <f>SUM(U14M[[#This Row],[Best SL]:[MW 5 of 7 Runs]])</f>
        <v>1366</v>
      </c>
      <c r="G20">
        <f>VLOOKUP(U14M[[#This Row],[Card]],U14Mcombined[],6,FALSE)</f>
        <v>300</v>
      </c>
      <c r="H20">
        <f>VLOOKUP(U14M[[#This Row],[Card]],U14Mcombined[],7,FALSE)</f>
        <v>160</v>
      </c>
      <c r="I20">
        <f>VLOOKUP(U14M[[#This Row],[Card]],U14Mruns[],5,FALSE)</f>
        <v>250</v>
      </c>
      <c r="J20">
        <f>VLOOKUP(U14M[[#This Row],[Card]],U14Mruns[],6,FALSE)</f>
        <v>300</v>
      </c>
      <c r="K20">
        <f>VLOOKUP(U14M[[#This Row],[Card]],U14Mcombined[],5,FALSE)</f>
        <v>38</v>
      </c>
      <c r="L20">
        <f>VLOOKUP(U14M[[#This Row],[Card]],U14MMWruns[],5,FALSE)</f>
        <v>318</v>
      </c>
    </row>
    <row r="21" spans="1:12" x14ac:dyDescent="0.25">
      <c r="A21" s="41">
        <v>18</v>
      </c>
      <c r="B21" s="41">
        <v>85883</v>
      </c>
      <c r="C21" s="41" t="s">
        <v>51</v>
      </c>
      <c r="D21" s="41" t="s">
        <v>15</v>
      </c>
      <c r="E21" s="41">
        <v>4</v>
      </c>
      <c r="F21" s="42">
        <f>SUM(U14M[[#This Row],[Best SL]:[MW 5 of 7 Runs]])</f>
        <v>1290</v>
      </c>
      <c r="G21">
        <f>VLOOKUP(U14M[[#This Row],[Card]],U14Mcombined[],6,FALSE)</f>
        <v>100</v>
      </c>
      <c r="H21">
        <f>VLOOKUP(U14M[[#This Row],[Card]],U14Mcombined[],7,FALSE)</f>
        <v>0</v>
      </c>
      <c r="I21">
        <f>VLOOKUP(U14M[[#This Row],[Card]],U14Mruns[],5,FALSE)</f>
        <v>120</v>
      </c>
      <c r="J21">
        <f>VLOOKUP(U14M[[#This Row],[Card]],U14Mruns[],6,FALSE)</f>
        <v>120</v>
      </c>
      <c r="K21">
        <f>VLOOKUP(U14M[[#This Row],[Card]],U14Mcombined[],5,FALSE)</f>
        <v>265</v>
      </c>
      <c r="L21">
        <f>VLOOKUP(U14M[[#This Row],[Card]],U14MMWruns[],5,FALSE)</f>
        <v>685</v>
      </c>
    </row>
    <row r="22" spans="1:12" x14ac:dyDescent="0.25">
      <c r="A22" s="41">
        <v>19</v>
      </c>
      <c r="B22" s="41">
        <v>80610</v>
      </c>
      <c r="C22" s="41" t="s">
        <v>219</v>
      </c>
      <c r="D22" s="41" t="s">
        <v>15</v>
      </c>
      <c r="E22" s="41">
        <v>5</v>
      </c>
      <c r="F22" s="42">
        <f>SUM(U14M[[#This Row],[Best SL]:[MW 5 of 7 Runs]])</f>
        <v>1080</v>
      </c>
      <c r="G22">
        <f>VLOOKUP(U14M[[#This Row],[Card]],U14Mcombined[],6,FALSE)</f>
        <v>180</v>
      </c>
      <c r="H22">
        <f>VLOOKUP(U14M[[#This Row],[Card]],U14Mcombined[],7,FALSE)</f>
        <v>250</v>
      </c>
      <c r="I22">
        <f>VLOOKUP(U14M[[#This Row],[Card]],U14Mruns[],5,FALSE)</f>
        <v>250</v>
      </c>
      <c r="J22">
        <f>VLOOKUP(U14M[[#This Row],[Card]],U14Mruns[],6,FALSE)</f>
        <v>400</v>
      </c>
      <c r="K22">
        <f>VLOOKUP(U14M[[#This Row],[Card]],U14Mcombined[],5,FALSE)</f>
        <v>0</v>
      </c>
      <c r="L22">
        <f>VLOOKUP(U14M[[#This Row],[Card]],U14MMWruns[],5,FALSE)</f>
        <v>0</v>
      </c>
    </row>
    <row r="23" spans="1:12" x14ac:dyDescent="0.25">
      <c r="A23" s="41">
        <v>20</v>
      </c>
      <c r="B23" s="41">
        <v>80715</v>
      </c>
      <c r="C23" s="41" t="s">
        <v>65</v>
      </c>
      <c r="D23" s="41" t="s">
        <v>22</v>
      </c>
      <c r="E23" s="41">
        <v>4</v>
      </c>
      <c r="F23" s="42">
        <f>SUM(U14M[[#This Row],[Best SL]:[MW 5 of 7 Runs]])</f>
        <v>1028</v>
      </c>
      <c r="G23">
        <f>VLOOKUP(U14M[[#This Row],[Card]],U14Mcombined[],6,FALSE)</f>
        <v>160</v>
      </c>
      <c r="H23">
        <f>VLOOKUP(U14M[[#This Row],[Card]],U14Mcombined[],7,FALSE)</f>
        <v>130</v>
      </c>
      <c r="I23">
        <f>VLOOKUP(U14M[[#This Row],[Card]],U14Mruns[],5,FALSE)</f>
        <v>130</v>
      </c>
      <c r="J23">
        <f>VLOOKUP(U14M[[#This Row],[Card]],U14Mruns[],6,FALSE)</f>
        <v>130</v>
      </c>
      <c r="K23">
        <f>VLOOKUP(U14M[[#This Row],[Card]],U14Mcombined[],5,FALSE)</f>
        <v>112</v>
      </c>
      <c r="L23">
        <f>VLOOKUP(U14M[[#This Row],[Card]],U14MMWruns[],5,FALSE)</f>
        <v>366</v>
      </c>
    </row>
    <row r="24" spans="1:12" x14ac:dyDescent="0.25">
      <c r="A24" s="41">
        <v>21</v>
      </c>
      <c r="B24" s="41">
        <v>81108</v>
      </c>
      <c r="C24" s="41" t="s">
        <v>44</v>
      </c>
      <c r="D24" s="41" t="s">
        <v>22</v>
      </c>
      <c r="E24" s="41">
        <v>5</v>
      </c>
      <c r="F24" s="42">
        <f>SUM(U14M[[#This Row],[Best SL]:[MW 5 of 7 Runs]])</f>
        <v>998</v>
      </c>
      <c r="G24">
        <f>VLOOKUP(U14M[[#This Row],[Card]],U14Mcombined[],6,FALSE)</f>
        <v>130</v>
      </c>
      <c r="H24">
        <f>VLOOKUP(U14M[[#This Row],[Card]],U14Mcombined[],7,FALSE)</f>
        <v>80</v>
      </c>
      <c r="I24">
        <f>VLOOKUP(U14M[[#This Row],[Card]],U14Mruns[],5,FALSE)</f>
        <v>145</v>
      </c>
      <c r="J24">
        <f>VLOOKUP(U14M[[#This Row],[Card]],U14Mruns[],6,FALSE)</f>
        <v>145</v>
      </c>
      <c r="K24">
        <f>VLOOKUP(U14M[[#This Row],[Card]],U14Mcombined[],5,FALSE)</f>
        <v>60</v>
      </c>
      <c r="L24">
        <f>VLOOKUP(U14M[[#This Row],[Card]],U14MMWruns[],5,FALSE)</f>
        <v>438</v>
      </c>
    </row>
    <row r="25" spans="1:12" x14ac:dyDescent="0.25">
      <c r="A25" s="41">
        <v>22</v>
      </c>
      <c r="B25" s="41">
        <v>80683</v>
      </c>
      <c r="C25" s="41" t="s">
        <v>67</v>
      </c>
      <c r="D25" s="41" t="s">
        <v>15</v>
      </c>
      <c r="E25" s="41">
        <v>4</v>
      </c>
      <c r="F25" s="42">
        <f>SUM(U14M[[#This Row],[Best SL]:[MW 5 of 7 Runs]])</f>
        <v>958</v>
      </c>
      <c r="G25">
        <f>VLOOKUP(U14M[[#This Row],[Card]],U14Mcombined[],6,FALSE)</f>
        <v>75</v>
      </c>
      <c r="H25">
        <f>VLOOKUP(U14M[[#This Row],[Card]],U14Mcombined[],7,FALSE)</f>
        <v>110</v>
      </c>
      <c r="I25">
        <f>VLOOKUP(U14M[[#This Row],[Card]],U14Mruns[],5,FALSE)</f>
        <v>130</v>
      </c>
      <c r="J25">
        <f>VLOOKUP(U14M[[#This Row],[Card]],U14Mruns[],6,FALSE)</f>
        <v>120</v>
      </c>
      <c r="K25">
        <f>VLOOKUP(U14M[[#This Row],[Card]],U14Mcombined[],5,FALSE)</f>
        <v>160</v>
      </c>
      <c r="L25">
        <f>VLOOKUP(U14M[[#This Row],[Card]],U14MMWruns[],5,FALSE)</f>
        <v>363</v>
      </c>
    </row>
    <row r="26" spans="1:12" x14ac:dyDescent="0.25">
      <c r="A26" s="41">
        <v>23</v>
      </c>
      <c r="B26" s="41">
        <v>80628</v>
      </c>
      <c r="C26" s="41" t="s">
        <v>58</v>
      </c>
      <c r="D26" s="41" t="s">
        <v>19</v>
      </c>
      <c r="E26" s="41">
        <v>4</v>
      </c>
      <c r="F26" s="42">
        <f>SUM(U14M[[#This Row],[Best SL]:[MW 5 of 7 Runs]])</f>
        <v>957</v>
      </c>
      <c r="G26">
        <f>VLOOKUP(U14M[[#This Row],[Card]],U14Mcombined[],6,FALSE)</f>
        <v>0</v>
      </c>
      <c r="H26">
        <f>VLOOKUP(U14M[[#This Row],[Card]],U14Mcombined[],7,FALSE)</f>
        <v>0</v>
      </c>
      <c r="I26">
        <f>VLOOKUP(U14M[[#This Row],[Card]],U14Mruns[],5,FALSE)</f>
        <v>55</v>
      </c>
      <c r="J26">
        <f>VLOOKUP(U14M[[#This Row],[Card]],U14Mruns[],6,FALSE)</f>
        <v>47</v>
      </c>
      <c r="K26">
        <f>VLOOKUP(U14M[[#This Row],[Card]],U14Mcombined[],5,FALSE)</f>
        <v>315</v>
      </c>
      <c r="L26">
        <f>VLOOKUP(U14M[[#This Row],[Card]],U14MMWruns[],5,FALSE)</f>
        <v>540</v>
      </c>
    </row>
    <row r="27" spans="1:12" x14ac:dyDescent="0.25">
      <c r="A27" s="41">
        <v>24</v>
      </c>
      <c r="B27" s="41">
        <v>80809</v>
      </c>
      <c r="C27" s="41" t="s">
        <v>53</v>
      </c>
      <c r="D27" s="41" t="s">
        <v>54</v>
      </c>
      <c r="E27" s="41">
        <v>4</v>
      </c>
      <c r="F27" s="42">
        <f>SUM(U14M[[#This Row],[Best SL]:[MW 5 of 7 Runs]])</f>
        <v>934</v>
      </c>
      <c r="G27">
        <f>VLOOKUP(U14M[[#This Row],[Card]],U14Mcombined[],6,FALSE)</f>
        <v>110</v>
      </c>
      <c r="H27">
        <f>VLOOKUP(U14M[[#This Row],[Card]],U14Mcombined[],7,FALSE)</f>
        <v>0</v>
      </c>
      <c r="I27">
        <f>VLOOKUP(U14M[[#This Row],[Card]],U14Mruns[],5,FALSE)</f>
        <v>130</v>
      </c>
      <c r="J27">
        <f>VLOOKUP(U14M[[#This Row],[Card]],U14Mruns[],6,FALSE)</f>
        <v>180</v>
      </c>
      <c r="K27">
        <f>VLOOKUP(U14M[[#This Row],[Card]],U14Mcombined[],5,FALSE)</f>
        <v>70</v>
      </c>
      <c r="L27">
        <f>VLOOKUP(U14M[[#This Row],[Card]],U14MMWruns[],5,FALSE)</f>
        <v>444</v>
      </c>
    </row>
    <row r="28" spans="1:12" x14ac:dyDescent="0.25">
      <c r="A28" s="41">
        <v>25</v>
      </c>
      <c r="B28" s="41">
        <v>82314</v>
      </c>
      <c r="C28" s="41" t="s">
        <v>78</v>
      </c>
      <c r="D28" s="41" t="s">
        <v>15</v>
      </c>
      <c r="E28" s="41">
        <v>4</v>
      </c>
      <c r="F28" s="42">
        <f>SUM(U14M[[#This Row],[Best SL]:[MW 5 of 7 Runs]])</f>
        <v>904</v>
      </c>
      <c r="G28">
        <f>VLOOKUP(U14M[[#This Row],[Card]],U14Mcombined[],6,FALSE)</f>
        <v>47</v>
      </c>
      <c r="H28">
        <f>VLOOKUP(U14M[[#This Row],[Card]],U14Mcombined[],7,FALSE)</f>
        <v>130</v>
      </c>
      <c r="I28">
        <f>VLOOKUP(U14M[[#This Row],[Card]],U14Mruns[],5,FALSE)</f>
        <v>90</v>
      </c>
      <c r="J28">
        <f>VLOOKUP(U14M[[#This Row],[Card]],U14Mruns[],6,FALSE)</f>
        <v>160</v>
      </c>
      <c r="K28">
        <f>VLOOKUP(U14M[[#This Row],[Card]],U14Mcombined[],5,FALSE)</f>
        <v>150</v>
      </c>
      <c r="L28">
        <f>VLOOKUP(U14M[[#This Row],[Card]],U14MMWruns[],5,FALSE)</f>
        <v>327</v>
      </c>
    </row>
    <row r="29" spans="1:12" x14ac:dyDescent="0.25">
      <c r="A29" s="41">
        <v>26</v>
      </c>
      <c r="B29" s="41">
        <v>80729</v>
      </c>
      <c r="C29" s="41" t="s">
        <v>90</v>
      </c>
      <c r="D29" s="41" t="s">
        <v>22</v>
      </c>
      <c r="E29" s="41">
        <v>4</v>
      </c>
      <c r="F29" s="42">
        <f>SUM(U14M[[#This Row],[Best SL]:[MW 5 of 7 Runs]])</f>
        <v>836</v>
      </c>
      <c r="G29">
        <f>VLOOKUP(U14M[[#This Row],[Card]],U14Mcombined[],6,FALSE)</f>
        <v>120</v>
      </c>
      <c r="H29">
        <f>VLOOKUP(U14M[[#This Row],[Card]],U14Mcombined[],7,FALSE)</f>
        <v>75</v>
      </c>
      <c r="I29">
        <f>VLOOKUP(U14M[[#This Row],[Card]],U14Mruns[],5,FALSE)</f>
        <v>160</v>
      </c>
      <c r="J29">
        <f>VLOOKUP(U14M[[#This Row],[Card]],U14Mruns[],6,FALSE)</f>
        <v>65</v>
      </c>
      <c r="K29">
        <f>VLOOKUP(U14M[[#This Row],[Card]],U14Mcombined[],5,FALSE)</f>
        <v>87</v>
      </c>
      <c r="L29">
        <f>VLOOKUP(U14M[[#This Row],[Card]],U14MMWruns[],5,FALSE)</f>
        <v>329</v>
      </c>
    </row>
    <row r="30" spans="1:12" x14ac:dyDescent="0.25">
      <c r="A30" s="41">
        <v>27</v>
      </c>
      <c r="B30" s="41">
        <v>76653</v>
      </c>
      <c r="C30" s="41" t="s">
        <v>37</v>
      </c>
      <c r="D30" s="41" t="s">
        <v>38</v>
      </c>
      <c r="E30" s="41">
        <v>4</v>
      </c>
      <c r="F30" s="42">
        <f>SUM(U14M[[#This Row],[Best SL]:[MW 5 of 7 Runs]])</f>
        <v>795</v>
      </c>
      <c r="G30">
        <f>VLOOKUP(U14M[[#This Row],[Card]],U14Mcombined[],6,FALSE)</f>
        <v>70</v>
      </c>
      <c r="H30">
        <f>VLOOKUP(U14M[[#This Row],[Card]],U14Mcombined[],7,FALSE)</f>
        <v>90</v>
      </c>
      <c r="I30">
        <f>VLOOKUP(U14M[[#This Row],[Card]],U14Mruns[],5,FALSE)</f>
        <v>65</v>
      </c>
      <c r="J30">
        <f>VLOOKUP(U14M[[#This Row],[Card]],U14Mruns[],6,FALSE)</f>
        <v>250</v>
      </c>
      <c r="K30">
        <f>VLOOKUP(U14M[[#This Row],[Card]],U14Mcombined[],5,FALSE)</f>
        <v>44</v>
      </c>
      <c r="L30">
        <f>VLOOKUP(U14M[[#This Row],[Card]],U14MMWruns[],5,FALSE)</f>
        <v>276</v>
      </c>
    </row>
    <row r="31" spans="1:12" x14ac:dyDescent="0.25">
      <c r="A31" s="41">
        <v>28</v>
      </c>
      <c r="B31" s="41">
        <v>84763</v>
      </c>
      <c r="C31" s="41" t="s">
        <v>103</v>
      </c>
      <c r="D31" s="41" t="s">
        <v>15</v>
      </c>
      <c r="E31" s="41">
        <v>5</v>
      </c>
      <c r="F31" s="42">
        <f>SUM(U14M[[#This Row],[Best SL]:[MW 5 of 7 Runs]])</f>
        <v>752</v>
      </c>
      <c r="G31">
        <f>VLOOKUP(U14M[[#This Row],[Card]],U14Mcombined[],6,FALSE)</f>
        <v>70</v>
      </c>
      <c r="H31">
        <f>VLOOKUP(U14M[[#This Row],[Card]],U14Mcombined[],7,FALSE)</f>
        <v>65</v>
      </c>
      <c r="I31">
        <f>VLOOKUP(U14M[[#This Row],[Card]],U14Mruns[],5,FALSE)</f>
        <v>200</v>
      </c>
      <c r="J31">
        <f>VLOOKUP(U14M[[#This Row],[Card]],U14Mruns[],6,FALSE)</f>
        <v>80</v>
      </c>
      <c r="K31">
        <f>VLOOKUP(U14M[[#This Row],[Card]],U14Mcombined[],5,FALSE)</f>
        <v>88</v>
      </c>
      <c r="L31">
        <f>VLOOKUP(U14M[[#This Row],[Card]],U14MMWruns[],5,FALSE)</f>
        <v>249</v>
      </c>
    </row>
    <row r="32" spans="1:12" x14ac:dyDescent="0.25">
      <c r="A32" s="41">
        <v>29</v>
      </c>
      <c r="B32" s="41">
        <v>80625</v>
      </c>
      <c r="C32" s="41" t="s">
        <v>76</v>
      </c>
      <c r="D32" s="41" t="s">
        <v>19</v>
      </c>
      <c r="E32" s="41">
        <v>4</v>
      </c>
      <c r="F32" s="42">
        <f>SUM(U14M[[#This Row],[Best SL]:[MW 5 of 7 Runs]])</f>
        <v>752</v>
      </c>
      <c r="G32">
        <f>VLOOKUP(U14M[[#This Row],[Card]],U14Mcombined[],6,FALSE)</f>
        <v>70</v>
      </c>
      <c r="H32">
        <f>VLOOKUP(U14M[[#This Row],[Card]],U14Mcombined[],7,FALSE)</f>
        <v>75</v>
      </c>
      <c r="I32">
        <f>VLOOKUP(U14M[[#This Row],[Card]],U14Mruns[],5,FALSE)</f>
        <v>60</v>
      </c>
      <c r="J32">
        <f>VLOOKUP(U14M[[#This Row],[Card]],U14Mruns[],6,FALSE)</f>
        <v>70</v>
      </c>
      <c r="K32">
        <f>VLOOKUP(U14M[[#This Row],[Card]],U14Mcombined[],5,FALSE)</f>
        <v>51</v>
      </c>
      <c r="L32">
        <f>VLOOKUP(U14M[[#This Row],[Card]],U14MMWruns[],5,FALSE)</f>
        <v>426</v>
      </c>
    </row>
    <row r="33" spans="1:12" x14ac:dyDescent="0.25">
      <c r="A33" s="41">
        <v>30</v>
      </c>
      <c r="B33" s="41">
        <v>78610</v>
      </c>
      <c r="C33" s="41" t="s">
        <v>133</v>
      </c>
      <c r="D33" s="41" t="s">
        <v>15</v>
      </c>
      <c r="E33" s="41">
        <v>5</v>
      </c>
      <c r="F33" s="42">
        <f>SUM(U14M[[#This Row],[Best SL]:[MW 5 of 7 Runs]])</f>
        <v>683</v>
      </c>
      <c r="G33">
        <f>VLOOKUP(U14M[[#This Row],[Card]],U14Mcombined[],6,FALSE)</f>
        <v>120</v>
      </c>
      <c r="H33">
        <f>VLOOKUP(U14M[[#This Row],[Card]],U14Mcombined[],7,FALSE)</f>
        <v>36</v>
      </c>
      <c r="I33">
        <f>VLOOKUP(U14M[[#This Row],[Card]],U14Mruns[],5,FALSE)</f>
        <v>80</v>
      </c>
      <c r="J33">
        <f>VLOOKUP(U14M[[#This Row],[Card]],U14Mruns[],6,FALSE)</f>
        <v>34</v>
      </c>
      <c r="K33">
        <f>VLOOKUP(U14M[[#This Row],[Card]],U14Mcombined[],5,FALSE)</f>
        <v>179</v>
      </c>
      <c r="L33">
        <f>VLOOKUP(U14M[[#This Row],[Card]],U14MMWruns[],5,FALSE)</f>
        <v>234</v>
      </c>
    </row>
    <row r="34" spans="1:12" x14ac:dyDescent="0.25">
      <c r="A34" s="41">
        <v>31</v>
      </c>
      <c r="B34" s="41">
        <v>77422</v>
      </c>
      <c r="C34" s="41" t="s">
        <v>84</v>
      </c>
      <c r="D34" s="41" t="s">
        <v>54</v>
      </c>
      <c r="E34" s="41">
        <v>4</v>
      </c>
      <c r="F34" s="42">
        <f>SUM(U14M[[#This Row],[Best SL]:[MW 5 of 7 Runs]])</f>
        <v>626</v>
      </c>
      <c r="G34">
        <f>VLOOKUP(U14M[[#This Row],[Card]],U14Mcombined[],6,FALSE)</f>
        <v>34</v>
      </c>
      <c r="H34">
        <f>VLOOKUP(U14M[[#This Row],[Card]],U14Mcombined[],7,FALSE)</f>
        <v>100</v>
      </c>
      <c r="I34">
        <f>VLOOKUP(U14M[[#This Row],[Card]],U14Mruns[],5,FALSE)</f>
        <v>47</v>
      </c>
      <c r="J34">
        <f>VLOOKUP(U14M[[#This Row],[Card]],U14Mruns[],6,FALSE)</f>
        <v>120</v>
      </c>
      <c r="K34">
        <f>VLOOKUP(U14M[[#This Row],[Card]],U14Mcombined[],5,FALSE)</f>
        <v>101</v>
      </c>
      <c r="L34">
        <f>VLOOKUP(U14M[[#This Row],[Card]],U14MMWruns[],5,FALSE)</f>
        <v>224</v>
      </c>
    </row>
    <row r="35" spans="1:12" x14ac:dyDescent="0.25">
      <c r="A35" s="41">
        <v>32</v>
      </c>
      <c r="B35" s="41">
        <v>81110</v>
      </c>
      <c r="C35" s="41" t="s">
        <v>86</v>
      </c>
      <c r="D35" s="41" t="s">
        <v>22</v>
      </c>
      <c r="E35" s="41">
        <v>5</v>
      </c>
      <c r="F35" s="42">
        <f>SUM(U14M[[#This Row],[Best SL]:[MW 5 of 7 Runs]])</f>
        <v>617</v>
      </c>
      <c r="G35">
        <f>VLOOKUP(U14M[[#This Row],[Card]],U14Mcombined[],6,FALSE)</f>
        <v>34</v>
      </c>
      <c r="H35">
        <f>VLOOKUP(U14M[[#This Row],[Card]],U14Mcombined[],7,FALSE)</f>
        <v>44</v>
      </c>
      <c r="I35">
        <f>VLOOKUP(U14M[[#This Row],[Card]],U14Mruns[],5,FALSE)</f>
        <v>100</v>
      </c>
      <c r="J35">
        <f>VLOOKUP(U14M[[#This Row],[Card]],U14Mruns[],6,FALSE)</f>
        <v>38</v>
      </c>
      <c r="K35">
        <f>VLOOKUP(U14M[[#This Row],[Card]],U14Mcombined[],5,FALSE)</f>
        <v>119</v>
      </c>
      <c r="L35">
        <f>VLOOKUP(U14M[[#This Row],[Card]],U14MMWruns[],5,FALSE)</f>
        <v>282</v>
      </c>
    </row>
    <row r="36" spans="1:12" x14ac:dyDescent="0.25">
      <c r="A36" s="41">
        <v>33</v>
      </c>
      <c r="B36" s="41">
        <v>81112</v>
      </c>
      <c r="C36" s="41" t="s">
        <v>63</v>
      </c>
      <c r="D36" s="41" t="s">
        <v>22</v>
      </c>
      <c r="E36" s="41">
        <v>4</v>
      </c>
      <c r="F36" s="42">
        <f>SUM(U14M[[#This Row],[Best SL]:[MW 5 of 7 Runs]])</f>
        <v>556</v>
      </c>
      <c r="G36">
        <f>VLOOKUP(U14M[[#This Row],[Card]],U14Mcombined[],6,FALSE)</f>
        <v>0</v>
      </c>
      <c r="H36">
        <f>VLOOKUP(U14M[[#This Row],[Card]],U14Mcombined[],7,FALSE)</f>
        <v>51</v>
      </c>
      <c r="I36">
        <f>VLOOKUP(U14M[[#This Row],[Card]],U14Mruns[],5,FALSE)</f>
        <v>60</v>
      </c>
      <c r="J36">
        <f>VLOOKUP(U14M[[#This Row],[Card]],U14Mruns[],6,FALSE)</f>
        <v>51</v>
      </c>
      <c r="K36">
        <f>VLOOKUP(U14M[[#This Row],[Card]],U14Mcombined[],5,FALSE)</f>
        <v>120</v>
      </c>
      <c r="L36">
        <f>VLOOKUP(U14M[[#This Row],[Card]],U14MMWruns[],5,FALSE)</f>
        <v>274</v>
      </c>
    </row>
    <row r="37" spans="1:12" x14ac:dyDescent="0.25">
      <c r="A37" s="41">
        <v>34</v>
      </c>
      <c r="B37" s="41">
        <v>80720</v>
      </c>
      <c r="C37" s="41" t="s">
        <v>98</v>
      </c>
      <c r="D37" s="41" t="s">
        <v>22</v>
      </c>
      <c r="E37" s="41">
        <v>5</v>
      </c>
      <c r="F37" s="42">
        <f>SUM(U14M[[#This Row],[Best SL]:[MW 5 of 7 Runs]])</f>
        <v>555</v>
      </c>
      <c r="G37">
        <f>VLOOKUP(U14M[[#This Row],[Card]],U14Mcombined[],6,FALSE)</f>
        <v>29</v>
      </c>
      <c r="H37">
        <f>VLOOKUP(U14M[[#This Row],[Card]],U14Mcombined[],7,FALSE)</f>
        <v>36</v>
      </c>
      <c r="I37">
        <f>VLOOKUP(U14M[[#This Row],[Card]],U14Mruns[],5,FALSE)</f>
        <v>80</v>
      </c>
      <c r="J37">
        <f>VLOOKUP(U14M[[#This Row],[Card]],U14Mruns[],6,FALSE)</f>
        <v>51</v>
      </c>
      <c r="K37">
        <f>VLOOKUP(U14M[[#This Row],[Card]],U14Mcombined[],5,FALSE)</f>
        <v>34</v>
      </c>
      <c r="L37">
        <f>VLOOKUP(U14M[[#This Row],[Card]],U14MMWruns[],5,FALSE)</f>
        <v>325</v>
      </c>
    </row>
    <row r="38" spans="1:12" x14ac:dyDescent="0.25">
      <c r="A38" s="41">
        <v>35</v>
      </c>
      <c r="B38" s="41">
        <v>78165</v>
      </c>
      <c r="C38" s="41" t="s">
        <v>119</v>
      </c>
      <c r="D38" s="41" t="s">
        <v>61</v>
      </c>
      <c r="E38" s="41">
        <v>4</v>
      </c>
      <c r="F38" s="42">
        <f>SUM(U14M[[#This Row],[Best SL]:[MW 5 of 7 Runs]])</f>
        <v>535</v>
      </c>
      <c r="G38">
        <f>VLOOKUP(U14M[[#This Row],[Card]],U14Mcombined[],6,FALSE)</f>
        <v>27</v>
      </c>
      <c r="H38">
        <f>VLOOKUP(U14M[[#This Row],[Card]],U14Mcombined[],7,FALSE)</f>
        <v>22</v>
      </c>
      <c r="I38">
        <f>VLOOKUP(U14M[[#This Row],[Card]],U14Mruns[],5,FALSE)</f>
        <v>24</v>
      </c>
      <c r="J38">
        <f>VLOOKUP(U14M[[#This Row],[Card]],U14Mruns[],6,FALSE)</f>
        <v>25</v>
      </c>
      <c r="K38">
        <f>VLOOKUP(U14M[[#This Row],[Card]],U14Mcombined[],5,FALSE)</f>
        <v>179</v>
      </c>
      <c r="L38">
        <f>VLOOKUP(U14M[[#This Row],[Card]],U14MMWruns[],5,FALSE)</f>
        <v>258</v>
      </c>
    </row>
    <row r="39" spans="1:12" x14ac:dyDescent="0.25">
      <c r="A39" s="41">
        <v>36</v>
      </c>
      <c r="B39" s="41">
        <v>80824</v>
      </c>
      <c r="C39" s="41" t="s">
        <v>80</v>
      </c>
      <c r="D39" s="41" t="s">
        <v>54</v>
      </c>
      <c r="E39" s="41">
        <v>4</v>
      </c>
      <c r="F39" s="42">
        <f>SUM(U14M[[#This Row],[Best SL]:[MW 5 of 7 Runs]])</f>
        <v>534</v>
      </c>
      <c r="G39">
        <f>VLOOKUP(U14M[[#This Row],[Card]],U14Mcombined[],6,FALSE)</f>
        <v>65</v>
      </c>
      <c r="H39">
        <f>VLOOKUP(U14M[[#This Row],[Card]],U14Mcombined[],7,FALSE)</f>
        <v>100</v>
      </c>
      <c r="I39">
        <f>VLOOKUP(U14M[[#This Row],[Card]],U14Mruns[],5,FALSE)</f>
        <v>110</v>
      </c>
      <c r="J39">
        <f>VLOOKUP(U14M[[#This Row],[Card]],U14Mruns[],6,FALSE)</f>
        <v>145</v>
      </c>
      <c r="K39">
        <f>VLOOKUP(U14M[[#This Row],[Card]],U14Mcombined[],5,FALSE)</f>
        <v>31</v>
      </c>
      <c r="L39">
        <f>VLOOKUP(U14M[[#This Row],[Card]],U14MMWruns[],5,FALSE)</f>
        <v>83</v>
      </c>
    </row>
    <row r="40" spans="1:12" x14ac:dyDescent="0.25">
      <c r="A40" s="41">
        <v>37</v>
      </c>
      <c r="B40" s="41">
        <v>85235</v>
      </c>
      <c r="C40" s="41" t="s">
        <v>46</v>
      </c>
      <c r="D40" s="41" t="s">
        <v>47</v>
      </c>
      <c r="E40" s="41">
        <v>4</v>
      </c>
      <c r="F40" s="42">
        <f>SUM(U14M[[#This Row],[Best SL]:[MW 5 of 7 Runs]])</f>
        <v>517</v>
      </c>
      <c r="G40">
        <f>VLOOKUP(U14M[[#This Row],[Card]],U14Mcombined[],6,FALSE)</f>
        <v>51</v>
      </c>
      <c r="H40">
        <f>VLOOKUP(U14M[[#This Row],[Card]],U14Mcombined[],7,FALSE)</f>
        <v>60</v>
      </c>
      <c r="I40">
        <f>VLOOKUP(U14M[[#This Row],[Card]],U14Mruns[],5,FALSE)</f>
        <v>51</v>
      </c>
      <c r="J40">
        <f>VLOOKUP(U14M[[#This Row],[Card]],U14Mruns[],6,FALSE)</f>
        <v>55</v>
      </c>
      <c r="K40">
        <f>VLOOKUP(U14M[[#This Row],[Card]],U14Mcombined[],5,FALSE)</f>
        <v>60</v>
      </c>
      <c r="L40">
        <f>VLOOKUP(U14M[[#This Row],[Card]],U14MMWruns[],5,FALSE)</f>
        <v>240</v>
      </c>
    </row>
    <row r="41" spans="1:12" x14ac:dyDescent="0.25">
      <c r="A41" s="41">
        <v>38</v>
      </c>
      <c r="B41" s="41">
        <v>78276</v>
      </c>
      <c r="C41" s="41" t="s">
        <v>92</v>
      </c>
      <c r="D41" s="41" t="s">
        <v>31</v>
      </c>
      <c r="E41" s="41">
        <v>4</v>
      </c>
      <c r="F41" s="42">
        <f>SUM(U14M[[#This Row],[Best SL]:[MW 5 of 7 Runs]])</f>
        <v>498</v>
      </c>
      <c r="G41">
        <f>VLOOKUP(U14M[[#This Row],[Card]],U14Mcombined[],6,FALSE)</f>
        <v>55</v>
      </c>
      <c r="H41">
        <f>VLOOKUP(U14M[[#This Row],[Card]],U14Mcombined[],7,FALSE)</f>
        <v>41</v>
      </c>
      <c r="I41">
        <f>VLOOKUP(U14M[[#This Row],[Card]],U14Mruns[],5,FALSE)</f>
        <v>70</v>
      </c>
      <c r="J41">
        <f>VLOOKUP(U14M[[#This Row],[Card]],U14Mruns[],6,FALSE)</f>
        <v>38</v>
      </c>
      <c r="K41">
        <f>VLOOKUP(U14M[[#This Row],[Card]],U14Mcombined[],5,FALSE)</f>
        <v>91</v>
      </c>
      <c r="L41">
        <f>VLOOKUP(U14M[[#This Row],[Card]],U14MMWruns[],5,FALSE)</f>
        <v>203</v>
      </c>
    </row>
    <row r="42" spans="1:12" x14ac:dyDescent="0.25">
      <c r="A42" s="41">
        <v>39</v>
      </c>
      <c r="B42" s="41">
        <v>78164</v>
      </c>
      <c r="C42" s="41" t="s">
        <v>129</v>
      </c>
      <c r="D42" s="41" t="s">
        <v>61</v>
      </c>
      <c r="E42" s="41">
        <v>5</v>
      </c>
      <c r="F42" s="42">
        <f>SUM(U14M[[#This Row],[Best SL]:[MW 5 of 7 Runs]])</f>
        <v>488</v>
      </c>
      <c r="G42">
        <f>VLOOKUP(U14M[[#This Row],[Card]],U14Mcombined[],6,FALSE)</f>
        <v>90</v>
      </c>
      <c r="H42">
        <f>VLOOKUP(U14M[[#This Row],[Card]],U14Mcombined[],7,FALSE)</f>
        <v>20</v>
      </c>
      <c r="I42">
        <f>VLOOKUP(U14M[[#This Row],[Card]],U14Mruns[],5,FALSE)</f>
        <v>65</v>
      </c>
      <c r="J42">
        <f>VLOOKUP(U14M[[#This Row],[Card]],U14Mruns[],6,FALSE)</f>
        <v>19</v>
      </c>
      <c r="K42">
        <f>VLOOKUP(U14M[[#This Row],[Card]],U14Mcombined[],5,FALSE)</f>
        <v>123</v>
      </c>
      <c r="L42">
        <f>VLOOKUP(U14M[[#This Row],[Card]],U14MMWruns[],5,FALSE)</f>
        <v>171</v>
      </c>
    </row>
    <row r="43" spans="1:12" x14ac:dyDescent="0.25">
      <c r="A43" s="41">
        <v>40</v>
      </c>
      <c r="B43" s="41">
        <v>78619</v>
      </c>
      <c r="C43" s="41" t="s">
        <v>121</v>
      </c>
      <c r="D43" s="41" t="s">
        <v>61</v>
      </c>
      <c r="E43" s="41">
        <v>4</v>
      </c>
      <c r="F43" s="42">
        <f>SUM(U14M[[#This Row],[Best SL]:[MW 5 of 7 Runs]])</f>
        <v>466</v>
      </c>
      <c r="G43">
        <f>VLOOKUP(U14M[[#This Row],[Card]],U14Mcombined[],6,FALSE)</f>
        <v>27</v>
      </c>
      <c r="H43">
        <f>VLOOKUP(U14M[[#This Row],[Card]],U14Mcombined[],7,FALSE)</f>
        <v>12</v>
      </c>
      <c r="I43">
        <f>VLOOKUP(U14M[[#This Row],[Card]],U14Mruns[],5,FALSE)</f>
        <v>29</v>
      </c>
      <c r="J43">
        <f>VLOOKUP(U14M[[#This Row],[Card]],U14Mruns[],6,FALSE)</f>
        <v>16</v>
      </c>
      <c r="K43">
        <f>VLOOKUP(U14M[[#This Row],[Card]],U14Mcombined[],5,FALSE)</f>
        <v>159</v>
      </c>
      <c r="L43">
        <f>VLOOKUP(U14M[[#This Row],[Card]],U14MMWruns[],5,FALSE)</f>
        <v>223</v>
      </c>
    </row>
    <row r="44" spans="1:12" x14ac:dyDescent="0.25">
      <c r="A44" s="41">
        <v>41</v>
      </c>
      <c r="B44" s="41">
        <v>77214</v>
      </c>
      <c r="C44" s="41" t="s">
        <v>154</v>
      </c>
      <c r="D44" s="41" t="s">
        <v>155</v>
      </c>
      <c r="E44" s="41">
        <v>5</v>
      </c>
      <c r="F44" s="42">
        <f>SUM(U14M[[#This Row],[Best SL]:[MW 5 of 7 Runs]])</f>
        <v>458</v>
      </c>
      <c r="G44">
        <f>VLOOKUP(U14M[[#This Row],[Card]],U14Mcombined[],6,FALSE)</f>
        <v>0</v>
      </c>
      <c r="H44">
        <f>VLOOKUP(U14M[[#This Row],[Card]],U14Mcombined[],7,FALSE)</f>
        <v>15</v>
      </c>
      <c r="I44">
        <f>VLOOKUP(U14M[[#This Row],[Card]],U14Mruns[],5,FALSE)</f>
        <v>32</v>
      </c>
      <c r="J44">
        <f>VLOOKUP(U14M[[#This Row],[Card]],U14Mruns[],6,FALSE)</f>
        <v>20</v>
      </c>
      <c r="K44">
        <f>VLOOKUP(U14M[[#This Row],[Card]],U14Mcombined[],5,FALSE)</f>
        <v>207</v>
      </c>
      <c r="L44">
        <f>VLOOKUP(U14M[[#This Row],[Card]],U14MMWruns[],5,FALSE)</f>
        <v>184</v>
      </c>
    </row>
    <row r="45" spans="1:12" x14ac:dyDescent="0.25">
      <c r="A45" s="41">
        <v>42</v>
      </c>
      <c r="B45" s="41">
        <v>80828</v>
      </c>
      <c r="C45" s="41" t="s">
        <v>88</v>
      </c>
      <c r="D45" s="41" t="s">
        <v>54</v>
      </c>
      <c r="E45" s="41">
        <v>5</v>
      </c>
      <c r="F45" s="42">
        <f>SUM(U14M[[#This Row],[Best SL]:[MW 5 of 7 Runs]])</f>
        <v>450</v>
      </c>
      <c r="G45">
        <f>VLOOKUP(U14M[[#This Row],[Card]],U14Mcombined[],6,FALSE)</f>
        <v>28</v>
      </c>
      <c r="H45">
        <f>VLOOKUP(U14M[[#This Row],[Card]],U14Mcombined[],7,FALSE)</f>
        <v>38</v>
      </c>
      <c r="I45">
        <f>VLOOKUP(U14M[[#This Row],[Card]],U14Mruns[],5,FALSE)</f>
        <v>25</v>
      </c>
      <c r="J45">
        <f>VLOOKUP(U14M[[#This Row],[Card]],U14Mruns[],6,FALSE)</f>
        <v>60</v>
      </c>
      <c r="K45">
        <f>VLOOKUP(U14M[[#This Row],[Card]],U14Mcombined[],5,FALSE)</f>
        <v>120</v>
      </c>
      <c r="L45">
        <f>VLOOKUP(U14M[[#This Row],[Card]],U14MMWruns[],5,FALSE)</f>
        <v>179</v>
      </c>
    </row>
    <row r="46" spans="1:12" x14ac:dyDescent="0.25">
      <c r="A46" s="41">
        <v>43</v>
      </c>
      <c r="B46" s="41">
        <v>80718</v>
      </c>
      <c r="C46" s="41" t="s">
        <v>94</v>
      </c>
      <c r="D46" s="41" t="s">
        <v>22</v>
      </c>
      <c r="E46" s="41">
        <v>4</v>
      </c>
      <c r="F46" s="42">
        <f>SUM(U14M[[#This Row],[Best SL]:[MW 5 of 7 Runs]])</f>
        <v>399</v>
      </c>
      <c r="G46">
        <f>VLOOKUP(U14M[[#This Row],[Card]],U14Mcombined[],6,FALSE)</f>
        <v>36</v>
      </c>
      <c r="H46">
        <f>VLOOKUP(U14M[[#This Row],[Card]],U14Mcombined[],7,FALSE)</f>
        <v>47</v>
      </c>
      <c r="I46">
        <f>VLOOKUP(U14M[[#This Row],[Card]],U14Mruns[],5,FALSE)</f>
        <v>34</v>
      </c>
      <c r="J46">
        <f>VLOOKUP(U14M[[#This Row],[Card]],U14Mruns[],6,FALSE)</f>
        <v>44</v>
      </c>
      <c r="K46">
        <f>VLOOKUP(U14M[[#This Row],[Card]],U14Mcombined[],5,FALSE)</f>
        <v>107</v>
      </c>
      <c r="L46">
        <f>VLOOKUP(U14M[[#This Row],[Card]],U14MMWruns[],5,FALSE)</f>
        <v>131</v>
      </c>
    </row>
    <row r="47" spans="1:12" x14ac:dyDescent="0.25">
      <c r="A47" s="41">
        <v>44</v>
      </c>
      <c r="B47" s="41">
        <v>82186</v>
      </c>
      <c r="C47" s="41" t="s">
        <v>114</v>
      </c>
      <c r="D47" s="41" t="s">
        <v>15</v>
      </c>
      <c r="E47" s="41">
        <v>4</v>
      </c>
      <c r="F47" s="42">
        <f>SUM(U14M[[#This Row],[Best SL]:[MW 5 of 7 Runs]])</f>
        <v>389</v>
      </c>
      <c r="G47">
        <f>VLOOKUP(U14M[[#This Row],[Card]],U14Mcombined[],6,FALSE)</f>
        <v>41</v>
      </c>
      <c r="H47">
        <f>VLOOKUP(U14M[[#This Row],[Card]],U14Mcombined[],7,FALSE)</f>
        <v>34</v>
      </c>
      <c r="I47">
        <f>VLOOKUP(U14M[[#This Row],[Card]],U14Mruns[],5,FALSE)</f>
        <v>51</v>
      </c>
      <c r="J47">
        <f>VLOOKUP(U14M[[#This Row],[Card]],U14Mruns[],6,FALSE)</f>
        <v>55</v>
      </c>
      <c r="K47">
        <f>VLOOKUP(U14M[[#This Row],[Card]],U14Mcombined[],5,FALSE)</f>
        <v>72</v>
      </c>
      <c r="L47">
        <f>VLOOKUP(U14M[[#This Row],[Card]],U14MMWruns[],5,FALSE)</f>
        <v>136</v>
      </c>
    </row>
    <row r="48" spans="1:12" x14ac:dyDescent="0.25">
      <c r="A48" s="41">
        <v>45</v>
      </c>
      <c r="B48" s="41">
        <v>86113</v>
      </c>
      <c r="C48" s="41" t="s">
        <v>142</v>
      </c>
      <c r="D48" s="41" t="s">
        <v>101</v>
      </c>
      <c r="E48" s="41">
        <v>5</v>
      </c>
      <c r="F48" s="42">
        <f>SUM(U14M[[#This Row],[Best SL]:[MW 5 of 7 Runs]])</f>
        <v>348</v>
      </c>
      <c r="G48">
        <f>VLOOKUP(U14M[[#This Row],[Card]],U14Mcombined[],6,FALSE)</f>
        <v>55</v>
      </c>
      <c r="H48">
        <f>VLOOKUP(U14M[[#This Row],[Card]],U14Mcombined[],7,FALSE)</f>
        <v>38</v>
      </c>
      <c r="I48">
        <f>VLOOKUP(U14M[[#This Row],[Card]],U14Mruns[],5,FALSE)</f>
        <v>44</v>
      </c>
      <c r="J48">
        <f>VLOOKUP(U14M[[#This Row],[Card]],U14Mruns[],6,FALSE)</f>
        <v>34</v>
      </c>
      <c r="K48">
        <f>VLOOKUP(U14M[[#This Row],[Card]],U14Mcombined[],5,FALSE)</f>
        <v>54</v>
      </c>
      <c r="L48">
        <f>VLOOKUP(U14M[[#This Row],[Card]],U14MMWruns[],5,FALSE)</f>
        <v>123</v>
      </c>
    </row>
    <row r="49" spans="1:12" x14ac:dyDescent="0.25">
      <c r="A49" s="41">
        <v>46</v>
      </c>
      <c r="B49" s="41">
        <v>80618</v>
      </c>
      <c r="C49" s="41" t="s">
        <v>123</v>
      </c>
      <c r="D49" s="41" t="s">
        <v>19</v>
      </c>
      <c r="E49" s="41">
        <v>4</v>
      </c>
      <c r="F49" s="42">
        <f>SUM(U14M[[#This Row],[Best SL]:[MW 5 of 7 Runs]])</f>
        <v>338</v>
      </c>
      <c r="G49">
        <f>VLOOKUP(U14M[[#This Row],[Card]],U14Mcombined[],6,FALSE)</f>
        <v>32</v>
      </c>
      <c r="H49">
        <f>VLOOKUP(U14M[[#This Row],[Card]],U14Mcombined[],7,FALSE)</f>
        <v>8</v>
      </c>
      <c r="I49">
        <f>VLOOKUP(U14M[[#This Row],[Card]],U14Mruns[],5,FALSE)</f>
        <v>80</v>
      </c>
      <c r="J49">
        <f>VLOOKUP(U14M[[#This Row],[Card]],U14Mruns[],6,FALSE)</f>
        <v>27</v>
      </c>
      <c r="K49">
        <f>VLOOKUP(U14M[[#This Row],[Card]],U14Mcombined[],5,FALSE)</f>
        <v>59</v>
      </c>
      <c r="L49">
        <f>VLOOKUP(U14M[[#This Row],[Card]],U14MMWruns[],5,FALSE)</f>
        <v>132</v>
      </c>
    </row>
    <row r="50" spans="1:12" x14ac:dyDescent="0.25">
      <c r="A50" s="41">
        <v>47</v>
      </c>
      <c r="B50" s="41">
        <v>82441</v>
      </c>
      <c r="C50" s="41" t="s">
        <v>96</v>
      </c>
      <c r="D50" s="41" t="s">
        <v>15</v>
      </c>
      <c r="E50" s="41">
        <v>4</v>
      </c>
      <c r="F50" s="42">
        <f>SUM(U14M[[#This Row],[Best SL]:[MW 5 of 7 Runs]])</f>
        <v>327</v>
      </c>
      <c r="G50">
        <f>VLOOKUP(U14M[[#This Row],[Card]],U14Mcombined[],6,FALSE)</f>
        <v>30</v>
      </c>
      <c r="H50">
        <f>VLOOKUP(U14M[[#This Row],[Card]],U14Mcombined[],7,FALSE)</f>
        <v>0</v>
      </c>
      <c r="I50">
        <f>VLOOKUP(U14M[[#This Row],[Card]],U14Mruns[],5,FALSE)</f>
        <v>47</v>
      </c>
      <c r="J50">
        <f>VLOOKUP(U14M[[#This Row],[Card]],U14Mruns[],6,FALSE)</f>
        <v>26</v>
      </c>
      <c r="K50">
        <f>VLOOKUP(U14M[[#This Row],[Card]],U14Mcombined[],5,FALSE)</f>
        <v>44</v>
      </c>
      <c r="L50">
        <f>VLOOKUP(U14M[[#This Row],[Card]],U14MMWruns[],5,FALSE)</f>
        <v>180</v>
      </c>
    </row>
    <row r="51" spans="1:12" x14ac:dyDescent="0.25">
      <c r="A51" s="41">
        <v>48</v>
      </c>
      <c r="B51" s="41">
        <v>85853</v>
      </c>
      <c r="C51" s="41" t="s">
        <v>82</v>
      </c>
      <c r="D51" s="41" t="s">
        <v>15</v>
      </c>
      <c r="E51" s="41">
        <v>5</v>
      </c>
      <c r="F51" s="42">
        <f>SUM(U14M[[#This Row],[Best SL]:[MW 5 of 7 Runs]])</f>
        <v>321</v>
      </c>
      <c r="G51">
        <f>VLOOKUP(U14M[[#This Row],[Card]],U14Mcombined[],6,FALSE)</f>
        <v>47</v>
      </c>
      <c r="H51">
        <f>VLOOKUP(U14M[[#This Row],[Card]],U14Mcombined[],7,FALSE)</f>
        <v>29</v>
      </c>
      <c r="I51">
        <f>VLOOKUP(U14M[[#This Row],[Card]],U14Mruns[],5,FALSE)</f>
        <v>36</v>
      </c>
      <c r="J51">
        <f>VLOOKUP(U14M[[#This Row],[Card]],U14Mruns[],6,FALSE)</f>
        <v>51</v>
      </c>
      <c r="K51">
        <f>VLOOKUP(U14M[[#This Row],[Card]],U14Mcombined[],5,FALSE)</f>
        <v>0</v>
      </c>
      <c r="L51">
        <f>VLOOKUP(U14M[[#This Row],[Card]],U14MMWruns[],5,FALSE)</f>
        <v>158</v>
      </c>
    </row>
    <row r="52" spans="1:12" x14ac:dyDescent="0.25">
      <c r="A52" s="43"/>
      <c r="B52">
        <v>74564</v>
      </c>
      <c r="C52" t="s">
        <v>100</v>
      </c>
      <c r="D52" t="s">
        <v>101</v>
      </c>
      <c r="E52">
        <v>5</v>
      </c>
      <c r="F52" s="5">
        <f>SUM(U14M[[#This Row],[Best SL]:[MW 5 of 7 Runs]])</f>
        <v>315</v>
      </c>
      <c r="G52">
        <f>VLOOKUP(U14M[[#This Row],[Card]],U14Mcombined[],6,FALSE)</f>
        <v>0</v>
      </c>
      <c r="H52">
        <f>VLOOKUP(U14M[[#This Row],[Card]],U14Mcombined[],7,FALSE)</f>
        <v>47</v>
      </c>
      <c r="I52">
        <f>VLOOKUP(U14M[[#This Row],[Card]],U14Mruns[],5,FALSE)</f>
        <v>0</v>
      </c>
      <c r="J52">
        <f>VLOOKUP(U14M[[#This Row],[Card]],U14Mruns[],6,FALSE)</f>
        <v>47</v>
      </c>
      <c r="K52">
        <f>VLOOKUP(U14M[[#This Row],[Card]],U14Mcombined[],5,FALSE)</f>
        <v>73</v>
      </c>
      <c r="L52">
        <f>VLOOKUP(U14M[[#This Row],[Card]],U14MMWruns[],5,FALSE)</f>
        <v>148</v>
      </c>
    </row>
    <row r="53" spans="1:12" x14ac:dyDescent="0.25">
      <c r="A53" s="43"/>
      <c r="B53">
        <v>82328</v>
      </c>
      <c r="C53" t="s">
        <v>137</v>
      </c>
      <c r="D53" t="s">
        <v>15</v>
      </c>
      <c r="E53">
        <v>4</v>
      </c>
      <c r="F53" s="5">
        <f>SUM(U14M[[#This Row],[Best SL]:[MW 5 of 7 Runs]])</f>
        <v>305</v>
      </c>
      <c r="G53">
        <f>VLOOKUP(U14M[[#This Row],[Card]],U14Mcombined[],6,FALSE)</f>
        <v>75</v>
      </c>
      <c r="H53">
        <f>VLOOKUP(U14M[[#This Row],[Card]],U14Mcombined[],7,FALSE)</f>
        <v>27</v>
      </c>
      <c r="I53">
        <f>VLOOKUP(U14M[[#This Row],[Card]],U14Mruns[],5,FALSE)</f>
        <v>60</v>
      </c>
      <c r="J53">
        <f>VLOOKUP(U14M[[#This Row],[Card]],U14Mruns[],6,FALSE)</f>
        <v>41</v>
      </c>
      <c r="K53">
        <f>VLOOKUP(U14M[[#This Row],[Card]],U14Mcombined[],5,FALSE)</f>
        <v>41</v>
      </c>
      <c r="L53">
        <f>VLOOKUP(U14M[[#This Row],[Card]],U14MMWruns[],5,FALSE)</f>
        <v>61</v>
      </c>
    </row>
    <row r="54" spans="1:12" x14ac:dyDescent="0.25">
      <c r="A54" s="43"/>
      <c r="B54">
        <v>81481</v>
      </c>
      <c r="C54" t="s">
        <v>182</v>
      </c>
      <c r="D54" t="s">
        <v>31</v>
      </c>
      <c r="E54">
        <v>4</v>
      </c>
      <c r="F54" s="5">
        <f>SUM(U14M[[#This Row],[Best SL]:[MW 5 of 7 Runs]])</f>
        <v>300</v>
      </c>
      <c r="G54">
        <f>VLOOKUP(U14M[[#This Row],[Card]],U14Mcombined[],6,FALSE)</f>
        <v>32</v>
      </c>
      <c r="H54">
        <f>VLOOKUP(U14M[[#This Row],[Card]],U14Mcombined[],7,FALSE)</f>
        <v>30</v>
      </c>
      <c r="I54">
        <f>VLOOKUP(U14M[[#This Row],[Card]],U14Mruns[],5,FALSE)</f>
        <v>36</v>
      </c>
      <c r="J54">
        <f>VLOOKUP(U14M[[#This Row],[Card]],U14Mruns[],6,FALSE)</f>
        <v>41</v>
      </c>
      <c r="K54">
        <f>VLOOKUP(U14M[[#This Row],[Card]],U14Mcombined[],5,FALSE)</f>
        <v>82</v>
      </c>
      <c r="L54">
        <f>VLOOKUP(U14M[[#This Row],[Card]],U14MMWruns[],5,FALSE)</f>
        <v>79</v>
      </c>
    </row>
    <row r="55" spans="1:12" x14ac:dyDescent="0.25">
      <c r="A55" s="43"/>
      <c r="B55">
        <v>81491</v>
      </c>
      <c r="C55" t="s">
        <v>105</v>
      </c>
      <c r="D55" t="s">
        <v>22</v>
      </c>
      <c r="E55">
        <v>5</v>
      </c>
      <c r="F55" s="5">
        <f>SUM(U14M[[#This Row],[Best SL]:[MW 5 of 7 Runs]])</f>
        <v>295</v>
      </c>
      <c r="G55">
        <f>VLOOKUP(U14M[[#This Row],[Card]],U14Mcombined[],6,FALSE)</f>
        <v>38</v>
      </c>
      <c r="H55">
        <f>VLOOKUP(U14M[[#This Row],[Card]],U14Mcombined[],7,FALSE)</f>
        <v>26</v>
      </c>
      <c r="I55">
        <f>VLOOKUP(U14M[[#This Row],[Card]],U14Mruns[],5,FALSE)</f>
        <v>41</v>
      </c>
      <c r="J55">
        <f>VLOOKUP(U14M[[#This Row],[Card]],U14Mruns[],6,FALSE)</f>
        <v>19</v>
      </c>
      <c r="K55">
        <f>VLOOKUP(U14M[[#This Row],[Card]],U14Mcombined[],5,FALSE)</f>
        <v>37</v>
      </c>
      <c r="L55">
        <f>VLOOKUP(U14M[[#This Row],[Card]],U14MMWruns[],5,FALSE)</f>
        <v>134</v>
      </c>
    </row>
    <row r="56" spans="1:12" x14ac:dyDescent="0.25">
      <c r="A56" s="43"/>
      <c r="B56">
        <v>81459</v>
      </c>
      <c r="C56" t="s">
        <v>225</v>
      </c>
      <c r="D56" t="s">
        <v>101</v>
      </c>
      <c r="E56">
        <v>5</v>
      </c>
      <c r="F56" s="5">
        <f>SUM(U14M[[#This Row],[Best SL]:[MW 5 of 7 Runs]])</f>
        <v>294</v>
      </c>
      <c r="G56">
        <f>VLOOKUP(U14M[[#This Row],[Card]],U14Mcombined[],6,FALSE)</f>
        <v>60</v>
      </c>
      <c r="H56">
        <f>VLOOKUP(U14M[[#This Row],[Card]],U14Mcombined[],7,FALSE)</f>
        <v>27</v>
      </c>
      <c r="I56">
        <f>VLOOKUP(U14M[[#This Row],[Card]],U14Mruns[],5,FALSE)</f>
        <v>41</v>
      </c>
      <c r="J56">
        <f>VLOOKUP(U14M[[#This Row],[Card]],U14Mruns[],6,FALSE)</f>
        <v>25</v>
      </c>
      <c r="K56">
        <f>VLOOKUP(U14M[[#This Row],[Card]],U14Mcombined[],5,FALSE)</f>
        <v>47</v>
      </c>
      <c r="L56">
        <f>VLOOKUP(U14M[[#This Row],[Card]],U14MMWruns[],5,FALSE)</f>
        <v>94</v>
      </c>
    </row>
    <row r="57" spans="1:12" x14ac:dyDescent="0.25">
      <c r="A57" s="43"/>
      <c r="B57">
        <v>80629</v>
      </c>
      <c r="C57" t="s">
        <v>144</v>
      </c>
      <c r="D57" t="s">
        <v>19</v>
      </c>
      <c r="E57">
        <v>5</v>
      </c>
      <c r="F57" s="5">
        <f>SUM(U14M[[#This Row],[Best SL]:[MW 5 of 7 Runs]])</f>
        <v>293</v>
      </c>
      <c r="G57">
        <f>VLOOKUP(U14M[[#This Row],[Card]],U14Mcombined[],6,FALSE)</f>
        <v>34</v>
      </c>
      <c r="H57">
        <f>VLOOKUP(U14M[[#This Row],[Card]],U14Mcombined[],7,FALSE)</f>
        <v>23</v>
      </c>
      <c r="I57">
        <f>VLOOKUP(U14M[[#This Row],[Card]],U14Mruns[],5,FALSE)</f>
        <v>30</v>
      </c>
      <c r="J57">
        <f>VLOOKUP(U14M[[#This Row],[Card]],U14Mruns[],6,FALSE)</f>
        <v>20</v>
      </c>
      <c r="K57">
        <f>VLOOKUP(U14M[[#This Row],[Card]],U14Mcombined[],5,FALSE)</f>
        <v>56</v>
      </c>
      <c r="L57">
        <f>VLOOKUP(U14M[[#This Row],[Card]],U14MMWruns[],5,FALSE)</f>
        <v>130</v>
      </c>
    </row>
    <row r="58" spans="1:12" x14ac:dyDescent="0.25">
      <c r="A58" s="43"/>
      <c r="B58">
        <v>81879</v>
      </c>
      <c r="C58" t="s">
        <v>146</v>
      </c>
      <c r="D58" t="s">
        <v>22</v>
      </c>
      <c r="E58">
        <v>5</v>
      </c>
      <c r="F58" s="5">
        <f>SUM(U14M[[#This Row],[Best SL]:[MW 5 of 7 Runs]])</f>
        <v>281</v>
      </c>
      <c r="G58">
        <f>VLOOKUP(U14M[[#This Row],[Card]],U14Mcombined[],6,FALSE)</f>
        <v>13</v>
      </c>
      <c r="H58">
        <f>VLOOKUP(U14M[[#This Row],[Card]],U14Mcombined[],7,FALSE)</f>
        <v>18</v>
      </c>
      <c r="I58">
        <f>VLOOKUP(U14M[[#This Row],[Card]],U14Mruns[],5,FALSE)</f>
        <v>12</v>
      </c>
      <c r="J58">
        <f>VLOOKUP(U14M[[#This Row],[Card]],U14Mruns[],6,FALSE)</f>
        <v>10</v>
      </c>
      <c r="K58">
        <f>VLOOKUP(U14M[[#This Row],[Card]],U14Mcombined[],5,FALSE)</f>
        <v>103</v>
      </c>
      <c r="L58">
        <f>VLOOKUP(U14M[[#This Row],[Card]],U14MMWruns[],5,FALSE)</f>
        <v>125</v>
      </c>
    </row>
    <row r="59" spans="1:12" x14ac:dyDescent="0.25">
      <c r="B59">
        <v>78680</v>
      </c>
      <c r="C59" t="s">
        <v>127</v>
      </c>
      <c r="D59" t="s">
        <v>22</v>
      </c>
      <c r="E59">
        <v>5</v>
      </c>
      <c r="F59" s="5">
        <f>SUM(U14M[[#This Row],[Best SL]:[MW 5 of 7 Runs]])</f>
        <v>276</v>
      </c>
      <c r="G59">
        <f>VLOOKUP(U14M[[#This Row],[Card]],U14Mcombined[],6,FALSE)</f>
        <v>21</v>
      </c>
      <c r="H59">
        <f>VLOOKUP(U14M[[#This Row],[Card]],U14Mcombined[],7,FALSE)</f>
        <v>19</v>
      </c>
      <c r="I59">
        <f>VLOOKUP(U14M[[#This Row],[Card]],U14Mruns[],5,FALSE)</f>
        <v>55</v>
      </c>
      <c r="J59">
        <f>VLOOKUP(U14M[[#This Row],[Card]],U14Mruns[],6,FALSE)</f>
        <v>23</v>
      </c>
      <c r="K59">
        <f>VLOOKUP(U14M[[#This Row],[Card]],U14Mcombined[],5,FALSE)</f>
        <v>35</v>
      </c>
      <c r="L59">
        <f>VLOOKUP(U14M[[#This Row],[Card]],U14MMWruns[],5,FALSE)</f>
        <v>123</v>
      </c>
    </row>
    <row r="60" spans="1:12" x14ac:dyDescent="0.25">
      <c r="B60">
        <v>80714</v>
      </c>
      <c r="C60" t="s">
        <v>152</v>
      </c>
      <c r="D60" t="s">
        <v>22</v>
      </c>
      <c r="E60">
        <v>5</v>
      </c>
      <c r="F60" s="5">
        <f>SUM(U14M[[#This Row],[Best SL]:[MW 5 of 7 Runs]])</f>
        <v>270</v>
      </c>
      <c r="G60">
        <f>VLOOKUP(U14M[[#This Row],[Card]],U14Mcombined[],6,FALSE)</f>
        <v>26</v>
      </c>
      <c r="H60">
        <f>VLOOKUP(U14M[[#This Row],[Card]],U14Mcombined[],7,FALSE)</f>
        <v>25</v>
      </c>
      <c r="I60">
        <f>VLOOKUP(U14M[[#This Row],[Card]],U14Mruns[],5,FALSE)</f>
        <v>24</v>
      </c>
      <c r="J60">
        <f>VLOOKUP(U14M[[#This Row],[Card]],U14Mruns[],6,FALSE)</f>
        <v>18</v>
      </c>
      <c r="K60">
        <f>VLOOKUP(U14M[[#This Row],[Card]],U14Mcombined[],5,FALSE)</f>
        <v>87</v>
      </c>
      <c r="L60">
        <f>VLOOKUP(U14M[[#This Row],[Card]],U14MMWruns[],5,FALSE)</f>
        <v>90</v>
      </c>
    </row>
    <row r="61" spans="1:12" x14ac:dyDescent="0.25">
      <c r="B61">
        <v>81322</v>
      </c>
      <c r="C61" t="s">
        <v>72</v>
      </c>
      <c r="D61" t="s">
        <v>22</v>
      </c>
      <c r="E61">
        <v>4</v>
      </c>
      <c r="F61" s="5">
        <f>SUM(U14M[[#This Row],[Best SL]:[MW 5 of 7 Runs]])</f>
        <v>255</v>
      </c>
      <c r="G61">
        <f>VLOOKUP(U14M[[#This Row],[Card]],U14Mcombined[],6,FALSE)</f>
        <v>90</v>
      </c>
      <c r="H61">
        <f>VLOOKUP(U14M[[#This Row],[Card]],U14Mcombined[],7,FALSE)</f>
        <v>0</v>
      </c>
      <c r="I61">
        <f>VLOOKUP(U14M[[#This Row],[Card]],U14Mruns[],5,FALSE)</f>
        <v>80</v>
      </c>
      <c r="J61">
        <f>VLOOKUP(U14M[[#This Row],[Card]],U14Mruns[],6,FALSE)</f>
        <v>20</v>
      </c>
      <c r="K61">
        <f>VLOOKUP(U14M[[#This Row],[Card]],U14Mcombined[],5,FALSE)</f>
        <v>0</v>
      </c>
      <c r="L61">
        <f>VLOOKUP(U14M[[#This Row],[Card]],U14MMWruns[],5,FALSE)</f>
        <v>65</v>
      </c>
    </row>
    <row r="62" spans="1:12" x14ac:dyDescent="0.25">
      <c r="B62">
        <v>81705</v>
      </c>
      <c r="C62" t="s">
        <v>165</v>
      </c>
      <c r="D62" s="5" t="s">
        <v>31</v>
      </c>
      <c r="E62">
        <v>4</v>
      </c>
      <c r="F62" s="5">
        <f>SUM(U14M[[#This Row],[Best SL]:[MW 5 of 7 Runs]])</f>
        <v>236</v>
      </c>
      <c r="G62">
        <f>VLOOKUP(U14M[[#This Row],[Card]],U14Mcombined[],6,FALSE)</f>
        <v>18</v>
      </c>
      <c r="H62">
        <f>VLOOKUP(U14M[[#This Row],[Card]],U14Mcombined[],7,FALSE)</f>
        <v>9</v>
      </c>
      <c r="I62">
        <f>VLOOKUP(U14M[[#This Row],[Card]],U14Mruns[],5,FALSE)</f>
        <v>9</v>
      </c>
      <c r="J62">
        <f>VLOOKUP(U14M[[#This Row],[Card]],U14Mruns[],6,FALSE)</f>
        <v>14</v>
      </c>
      <c r="K62">
        <f>VLOOKUP(U14M[[#This Row],[Card]],U14Mcombined[],5,FALSE)</f>
        <v>57</v>
      </c>
      <c r="L62">
        <f>VLOOKUP(U14M[[#This Row],[Card]],U14MMWruns[],5,FALSE)</f>
        <v>129</v>
      </c>
    </row>
    <row r="63" spans="1:12" x14ac:dyDescent="0.25">
      <c r="B63">
        <v>80690</v>
      </c>
      <c r="C63" t="s">
        <v>148</v>
      </c>
      <c r="D63" t="s">
        <v>31</v>
      </c>
      <c r="E63">
        <v>5</v>
      </c>
      <c r="F63" s="5">
        <f>SUM(U14M[[#This Row],[Best SL]:[MW 5 of 7 Runs]])</f>
        <v>229</v>
      </c>
      <c r="G63">
        <f>VLOOKUP(U14M[[#This Row],[Card]],U14Mcombined[],6,FALSE)</f>
        <v>36</v>
      </c>
      <c r="H63">
        <f>VLOOKUP(U14M[[#This Row],[Card]],U14Mcombined[],7,FALSE)</f>
        <v>30</v>
      </c>
      <c r="I63">
        <f>VLOOKUP(U14M[[#This Row],[Card]],U14Mruns[],5,FALSE)</f>
        <v>29</v>
      </c>
      <c r="J63">
        <f>VLOOKUP(U14M[[#This Row],[Card]],U14Mruns[],6,FALSE)</f>
        <v>36</v>
      </c>
      <c r="K63">
        <f>VLOOKUP(U14M[[#This Row],[Card]],U14Mcombined[],5,FALSE)</f>
        <v>23</v>
      </c>
      <c r="L63">
        <f>VLOOKUP(U14M[[#This Row],[Card]],U14MMWruns[],5,FALSE)</f>
        <v>75</v>
      </c>
    </row>
    <row r="64" spans="1:12" x14ac:dyDescent="0.25">
      <c r="B64">
        <v>80682</v>
      </c>
      <c r="C64" t="s">
        <v>135</v>
      </c>
      <c r="D64" t="s">
        <v>15</v>
      </c>
      <c r="E64">
        <v>4</v>
      </c>
      <c r="F64" s="5">
        <f>SUM(U14M[[#This Row],[Best SL]:[MW 5 of 7 Runs]])</f>
        <v>226</v>
      </c>
      <c r="G64">
        <f>VLOOKUP(U14M[[#This Row],[Card]],U14Mcombined[],6,FALSE)</f>
        <v>27</v>
      </c>
      <c r="H64">
        <f>VLOOKUP(U14M[[#This Row],[Card]],U14Mcombined[],7,FALSE)</f>
        <v>21</v>
      </c>
      <c r="I64">
        <f>VLOOKUP(U14M[[#This Row],[Card]],U14Mruns[],5,FALSE)</f>
        <v>41</v>
      </c>
      <c r="J64">
        <f>VLOOKUP(U14M[[#This Row],[Card]],U14Mruns[],6,FALSE)</f>
        <v>41</v>
      </c>
      <c r="K64">
        <f>VLOOKUP(U14M[[#This Row],[Card]],U14Mcombined[],5,FALSE)</f>
        <v>37</v>
      </c>
      <c r="L64">
        <f>VLOOKUP(U14M[[#This Row],[Card]],U14MMWruns[],5,FALSE)</f>
        <v>59</v>
      </c>
    </row>
    <row r="65" spans="2:12" x14ac:dyDescent="0.25">
      <c r="B65">
        <v>76572</v>
      </c>
      <c r="C65" t="s">
        <v>109</v>
      </c>
      <c r="D65" t="s">
        <v>38</v>
      </c>
      <c r="E65">
        <v>4</v>
      </c>
      <c r="F65" s="5">
        <f>SUM(U14M[[#This Row],[Best SL]:[MW 5 of 7 Runs]])</f>
        <v>211</v>
      </c>
      <c r="G65">
        <f>VLOOKUP(U14M[[#This Row],[Card]],U14Mcombined[],6,FALSE)</f>
        <v>25</v>
      </c>
      <c r="H65">
        <f>VLOOKUP(U14M[[#This Row],[Card]],U14Mcombined[],7,FALSE)</f>
        <v>28</v>
      </c>
      <c r="I65">
        <f>VLOOKUP(U14M[[#This Row],[Card]],U14Mruns[],5,FALSE)</f>
        <v>19</v>
      </c>
      <c r="J65">
        <f>VLOOKUP(U14M[[#This Row],[Card]],U14Mruns[],6,FALSE)</f>
        <v>30</v>
      </c>
      <c r="K65">
        <f>VLOOKUP(U14M[[#This Row],[Card]],U14Mcombined[],5,FALSE)</f>
        <v>24</v>
      </c>
      <c r="L65">
        <f>VLOOKUP(U14M[[#This Row],[Card]],U14MMWruns[],5,FALSE)</f>
        <v>85</v>
      </c>
    </row>
    <row r="66" spans="2:12" x14ac:dyDescent="0.25">
      <c r="B66">
        <v>84752</v>
      </c>
      <c r="C66" t="s">
        <v>140</v>
      </c>
      <c r="D66" t="s">
        <v>15</v>
      </c>
      <c r="E66">
        <v>5</v>
      </c>
      <c r="F66" s="5">
        <f>SUM(U14M[[#This Row],[Best SL]:[MW 5 of 7 Runs]])</f>
        <v>207</v>
      </c>
      <c r="G66">
        <f>VLOOKUP(U14M[[#This Row],[Card]],U14Mcombined[],6,FALSE)</f>
        <v>16</v>
      </c>
      <c r="H66">
        <f>VLOOKUP(U14M[[#This Row],[Card]],U14Mcombined[],7,FALSE)</f>
        <v>16</v>
      </c>
      <c r="I66">
        <f>VLOOKUP(U14M[[#This Row],[Card]],U14Mruns[],5,FALSE)</f>
        <v>16</v>
      </c>
      <c r="J66">
        <f>VLOOKUP(U14M[[#This Row],[Card]],U14Mruns[],6,FALSE)</f>
        <v>5</v>
      </c>
      <c r="K66">
        <f>VLOOKUP(U14M[[#This Row],[Card]],U14Mcombined[],5,FALSE)</f>
        <v>71</v>
      </c>
      <c r="L66">
        <f>VLOOKUP(U14M[[#This Row],[Card]],U14MMWruns[],5,FALSE)</f>
        <v>83</v>
      </c>
    </row>
    <row r="67" spans="2:12" x14ac:dyDescent="0.25">
      <c r="B67">
        <v>81139</v>
      </c>
      <c r="C67" t="s">
        <v>177</v>
      </c>
      <c r="D67" t="s">
        <v>22</v>
      </c>
      <c r="E67">
        <v>4</v>
      </c>
      <c r="F67" s="5">
        <f>SUM(U14M[[#This Row],[Best SL]:[MW 5 of 7 Runs]])</f>
        <v>206</v>
      </c>
      <c r="G67">
        <f>VLOOKUP(U14M[[#This Row],[Card]],U14Mcombined[],6,FALSE)</f>
        <v>24</v>
      </c>
      <c r="H67">
        <f>VLOOKUP(U14M[[#This Row],[Card]],U14Mcombined[],7,FALSE)</f>
        <v>51</v>
      </c>
      <c r="I67">
        <f>VLOOKUP(U14M[[#This Row],[Card]],U14Mruns[],5,FALSE)</f>
        <v>25</v>
      </c>
      <c r="J67">
        <f>VLOOKUP(U14M[[#This Row],[Card]],U14Mruns[],6,FALSE)</f>
        <v>47</v>
      </c>
      <c r="K67">
        <f>VLOOKUP(U14M[[#This Row],[Card]],U14Mcombined[],5,FALSE)</f>
        <v>15</v>
      </c>
      <c r="L67">
        <f>VLOOKUP(U14M[[#This Row],[Card]],U14MMWruns[],5,FALSE)</f>
        <v>44</v>
      </c>
    </row>
    <row r="68" spans="2:12" x14ac:dyDescent="0.25">
      <c r="B68">
        <v>78398</v>
      </c>
      <c r="C68" t="s">
        <v>156</v>
      </c>
      <c r="D68" t="s">
        <v>19</v>
      </c>
      <c r="E68">
        <v>4</v>
      </c>
      <c r="F68" s="5">
        <f>SUM(U14M[[#This Row],[Best SL]:[MW 5 of 7 Runs]])</f>
        <v>204</v>
      </c>
      <c r="G68">
        <f>VLOOKUP(U14M[[#This Row],[Card]],U14Mcombined[],6,FALSE)</f>
        <v>21</v>
      </c>
      <c r="H68">
        <f>VLOOKUP(U14M[[#This Row],[Card]],U14Mcombined[],7,FALSE)</f>
        <v>0</v>
      </c>
      <c r="I68">
        <f>VLOOKUP(U14M[[#This Row],[Card]],U14Mruns[],5,FALSE)</f>
        <v>25</v>
      </c>
      <c r="J68">
        <f>VLOOKUP(U14M[[#This Row],[Card]],U14Mruns[],6,FALSE)</f>
        <v>16</v>
      </c>
      <c r="K68">
        <f>VLOOKUP(U14M[[#This Row],[Card]],U14Mcombined[],5,FALSE)</f>
        <v>47</v>
      </c>
      <c r="L68">
        <f>VLOOKUP(U14M[[#This Row],[Card]],U14MMWruns[],5,FALSE)</f>
        <v>95</v>
      </c>
    </row>
    <row r="69" spans="2:12" x14ac:dyDescent="0.25">
      <c r="B69">
        <v>86143</v>
      </c>
      <c r="C69" t="s">
        <v>125</v>
      </c>
      <c r="D69" t="s">
        <v>42</v>
      </c>
      <c r="E69">
        <v>4</v>
      </c>
      <c r="F69" s="5">
        <f>SUM(U14M[[#This Row],[Best SL]:[MW 5 of 7 Runs]])</f>
        <v>194</v>
      </c>
      <c r="G69">
        <f>VLOOKUP(U14M[[#This Row],[Card]],U14Mcombined[],6,FALSE)</f>
        <v>32</v>
      </c>
      <c r="H69">
        <f>VLOOKUP(U14M[[#This Row],[Card]],U14Mcombined[],7,FALSE)</f>
        <v>0</v>
      </c>
      <c r="I69">
        <f>VLOOKUP(U14M[[#This Row],[Card]],U14Mruns[],5,FALSE)</f>
        <v>36</v>
      </c>
      <c r="J69">
        <f>VLOOKUP(U14M[[#This Row],[Card]],U14Mruns[],6,FALSE)</f>
        <v>23</v>
      </c>
      <c r="K69">
        <f>VLOOKUP(U14M[[#This Row],[Card]],U14Mcombined[],5,FALSE)</f>
        <v>9</v>
      </c>
      <c r="L69">
        <f>VLOOKUP(U14M[[#This Row],[Card]],U14MMWruns[],5,FALSE)</f>
        <v>94</v>
      </c>
    </row>
    <row r="70" spans="2:12" x14ac:dyDescent="0.25">
      <c r="B70">
        <v>78181</v>
      </c>
      <c r="C70" t="s">
        <v>138</v>
      </c>
      <c r="D70" t="s">
        <v>61</v>
      </c>
      <c r="E70">
        <v>4</v>
      </c>
      <c r="F70" s="5">
        <f>SUM(U14M[[#This Row],[Best SL]:[MW 5 of 7 Runs]])</f>
        <v>190</v>
      </c>
      <c r="G70">
        <f>VLOOKUP(U14M[[#This Row],[Card]],U14Mcombined[],6,FALSE)</f>
        <v>31</v>
      </c>
      <c r="H70">
        <f>VLOOKUP(U14M[[#This Row],[Card]],U14Mcombined[],7,FALSE)</f>
        <v>11</v>
      </c>
      <c r="I70">
        <f>VLOOKUP(U14M[[#This Row],[Card]],U14Mruns[],5,FALSE)</f>
        <v>23</v>
      </c>
      <c r="J70">
        <f>VLOOKUP(U14M[[#This Row],[Card]],U14Mruns[],6,FALSE)</f>
        <v>13</v>
      </c>
      <c r="K70">
        <f>VLOOKUP(U14M[[#This Row],[Card]],U14Mcombined[],5,FALSE)</f>
        <v>59</v>
      </c>
      <c r="L70">
        <f>VLOOKUP(U14M[[#This Row],[Card]],U14MMWruns[],5,FALSE)</f>
        <v>53</v>
      </c>
    </row>
    <row r="71" spans="2:12" x14ac:dyDescent="0.25">
      <c r="B71">
        <v>81810</v>
      </c>
      <c r="C71" t="s">
        <v>329</v>
      </c>
      <c r="D71" t="s">
        <v>54</v>
      </c>
      <c r="E71">
        <v>4</v>
      </c>
      <c r="F71" s="5">
        <f>SUM(U14M[[#This Row],[Best SL]:[MW 5 of 7 Runs]])</f>
        <v>185</v>
      </c>
      <c r="G71">
        <f>VLOOKUP(U14M[[#This Row],[Card]],U14Mcombined[],6,FALSE)</f>
        <v>20</v>
      </c>
      <c r="H71">
        <f>VLOOKUP(U14M[[#This Row],[Card]],U14Mcombined[],7,FALSE)</f>
        <v>0</v>
      </c>
      <c r="I71">
        <f>VLOOKUP(U14M[[#This Row],[Card]],U14Mruns[],5,FALSE)</f>
        <v>20</v>
      </c>
      <c r="J71">
        <f>VLOOKUP(U14M[[#This Row],[Card]],U14Mruns[],6,FALSE)</f>
        <v>3</v>
      </c>
      <c r="K71">
        <f>VLOOKUP(U14M[[#This Row],[Card]],U14Mcombined[],5,FALSE)</f>
        <v>74</v>
      </c>
      <c r="L71">
        <f>VLOOKUP(U14M[[#This Row],[Card]],U14MMWruns[],5,FALSE)</f>
        <v>68</v>
      </c>
    </row>
    <row r="72" spans="2:12" x14ac:dyDescent="0.25">
      <c r="B72">
        <v>85772</v>
      </c>
      <c r="C72" t="s">
        <v>196</v>
      </c>
      <c r="D72" t="s">
        <v>15</v>
      </c>
      <c r="E72">
        <v>5</v>
      </c>
      <c r="F72" s="5">
        <f>SUM(U14M[[#This Row],[Best SL]:[MW 5 of 7 Runs]])</f>
        <v>167</v>
      </c>
      <c r="G72">
        <f>VLOOKUP(U14M[[#This Row],[Card]],U14Mcombined[],6,FALSE)</f>
        <v>17</v>
      </c>
      <c r="H72">
        <f>VLOOKUP(U14M[[#This Row],[Card]],U14Mcombined[],7,FALSE)</f>
        <v>17</v>
      </c>
      <c r="I72">
        <f>VLOOKUP(U14M[[#This Row],[Card]],U14Mruns[],5,FALSE)</f>
        <v>19</v>
      </c>
      <c r="J72">
        <f>VLOOKUP(U14M[[#This Row],[Card]],U14Mruns[],6,FALSE)</f>
        <v>15</v>
      </c>
      <c r="K72">
        <f>VLOOKUP(U14M[[#This Row],[Card]],U14Mcombined[],5,FALSE)</f>
        <v>28</v>
      </c>
      <c r="L72">
        <f>VLOOKUP(U14M[[#This Row],[Card]],U14MMWruns[],5,FALSE)</f>
        <v>71</v>
      </c>
    </row>
    <row r="73" spans="2:12" x14ac:dyDescent="0.25">
      <c r="B73">
        <v>80700</v>
      </c>
      <c r="C73" t="s">
        <v>192</v>
      </c>
      <c r="D73" t="s">
        <v>31</v>
      </c>
      <c r="E73">
        <v>4</v>
      </c>
      <c r="F73" s="5">
        <f>SUM(U14M[[#This Row],[Best SL]:[MW 5 of 7 Runs]])</f>
        <v>164</v>
      </c>
      <c r="G73">
        <f>VLOOKUP(U14M[[#This Row],[Card]],U14Mcombined[],6,FALSE)</f>
        <v>31</v>
      </c>
      <c r="H73">
        <f>VLOOKUP(U14M[[#This Row],[Card]],U14Mcombined[],7,FALSE)</f>
        <v>2</v>
      </c>
      <c r="I73">
        <f>VLOOKUP(U14M[[#This Row],[Card]],U14Mruns[],5,FALSE)</f>
        <v>23</v>
      </c>
      <c r="J73">
        <f>VLOOKUP(U14M[[#This Row],[Card]],U14Mruns[],6,FALSE)</f>
        <v>5</v>
      </c>
      <c r="K73">
        <f>VLOOKUP(U14M[[#This Row],[Card]],U14Mcombined[],5,FALSE)</f>
        <v>52</v>
      </c>
      <c r="L73">
        <f>VLOOKUP(U14M[[#This Row],[Card]],U14MMWruns[],5,FALSE)</f>
        <v>51</v>
      </c>
    </row>
    <row r="74" spans="2:12" x14ac:dyDescent="0.25">
      <c r="B74">
        <v>76864</v>
      </c>
      <c r="C74" t="s">
        <v>107</v>
      </c>
      <c r="D74" t="s">
        <v>38</v>
      </c>
      <c r="E74">
        <v>4</v>
      </c>
      <c r="F74" s="5">
        <f>SUM(U14M[[#This Row],[Best SL]:[MW 5 of 7 Runs]])</f>
        <v>162</v>
      </c>
      <c r="G74">
        <f>VLOOKUP(U14M[[#This Row],[Card]],U14Mcombined[],6,FALSE)</f>
        <v>15</v>
      </c>
      <c r="H74">
        <f>VLOOKUP(U14M[[#This Row],[Card]],U14Mcombined[],7,FALSE)</f>
        <v>7</v>
      </c>
      <c r="I74">
        <f>VLOOKUP(U14M[[#This Row],[Card]],U14Mruns[],5,FALSE)</f>
        <v>26</v>
      </c>
      <c r="J74">
        <f>VLOOKUP(U14M[[#This Row],[Card]],U14Mruns[],6,FALSE)</f>
        <v>17</v>
      </c>
      <c r="K74">
        <f>VLOOKUP(U14M[[#This Row],[Card]],U14Mcombined[],5,FALSE)</f>
        <v>15</v>
      </c>
      <c r="L74">
        <f>VLOOKUP(U14M[[#This Row],[Card]],U14MMWruns[],5,FALSE)</f>
        <v>82</v>
      </c>
    </row>
    <row r="75" spans="2:12" x14ac:dyDescent="0.25">
      <c r="B75">
        <v>80630</v>
      </c>
      <c r="C75" t="s">
        <v>188</v>
      </c>
      <c r="D75" t="s">
        <v>19</v>
      </c>
      <c r="E75">
        <v>4</v>
      </c>
      <c r="F75" s="5">
        <f>SUM(U14M[[#This Row],[Best SL]:[MW 5 of 7 Runs]])</f>
        <v>161</v>
      </c>
      <c r="G75">
        <f>VLOOKUP(U14M[[#This Row],[Card]],U14Mcombined[],6,FALSE)</f>
        <v>23</v>
      </c>
      <c r="H75">
        <f>VLOOKUP(U14M[[#This Row],[Card]],U14Mcombined[],7,FALSE)</f>
        <v>0</v>
      </c>
      <c r="I75">
        <f>VLOOKUP(U14M[[#This Row],[Card]],U14Mruns[],5,FALSE)</f>
        <v>17</v>
      </c>
      <c r="J75">
        <f>VLOOKUP(U14M[[#This Row],[Card]],U14Mruns[],6,FALSE)</f>
        <v>0</v>
      </c>
      <c r="K75">
        <f>VLOOKUP(U14M[[#This Row],[Card]],U14Mcombined[],5,FALSE)</f>
        <v>61</v>
      </c>
      <c r="L75">
        <f>VLOOKUP(U14M[[#This Row],[Card]],U14MMWruns[],5,FALSE)</f>
        <v>60</v>
      </c>
    </row>
    <row r="76" spans="2:12" x14ac:dyDescent="0.25">
      <c r="B76">
        <v>80724</v>
      </c>
      <c r="C76" t="s">
        <v>167</v>
      </c>
      <c r="D76" t="s">
        <v>22</v>
      </c>
      <c r="E76">
        <v>4</v>
      </c>
      <c r="F76" s="5">
        <f>SUM(U14M[[#This Row],[Best SL]:[MW 5 of 7 Runs]])</f>
        <v>161</v>
      </c>
      <c r="G76">
        <f>VLOOKUP(U14M[[#This Row],[Card]],U14Mcombined[],6,FALSE)</f>
        <v>26</v>
      </c>
      <c r="H76">
        <f>VLOOKUP(U14M[[#This Row],[Card]],U14Mcombined[],7,FALSE)</f>
        <v>24</v>
      </c>
      <c r="I76">
        <f>VLOOKUP(U14M[[#This Row],[Card]],U14Mruns[],5,FALSE)</f>
        <v>20</v>
      </c>
      <c r="J76">
        <f>VLOOKUP(U14M[[#This Row],[Card]],U14Mruns[],6,FALSE)</f>
        <v>17</v>
      </c>
      <c r="K76">
        <f>VLOOKUP(U14M[[#This Row],[Card]],U14Mcombined[],5,FALSE)</f>
        <v>42</v>
      </c>
      <c r="L76">
        <f>VLOOKUP(U14M[[#This Row],[Card]],U14MMWruns[],5,FALSE)</f>
        <v>32</v>
      </c>
    </row>
    <row r="77" spans="2:12" x14ac:dyDescent="0.25">
      <c r="B77">
        <v>84722</v>
      </c>
      <c r="C77" t="s">
        <v>169</v>
      </c>
      <c r="D77" t="s">
        <v>61</v>
      </c>
      <c r="E77">
        <v>4</v>
      </c>
      <c r="F77" s="5">
        <f>SUM(U14M[[#This Row],[Best SL]:[MW 5 of 7 Runs]])</f>
        <v>159</v>
      </c>
      <c r="G77">
        <f>VLOOKUP(U14M[[#This Row],[Card]],U14Mcombined[],6,FALSE)</f>
        <v>11</v>
      </c>
      <c r="H77">
        <f>VLOOKUP(U14M[[#This Row],[Card]],U14Mcombined[],7,FALSE)</f>
        <v>14</v>
      </c>
      <c r="I77">
        <f>VLOOKUP(U14M[[#This Row],[Card]],U14Mruns[],5,FALSE)</f>
        <v>7</v>
      </c>
      <c r="J77">
        <f>VLOOKUP(U14M[[#This Row],[Card]],U14Mruns[],6,FALSE)</f>
        <v>19</v>
      </c>
      <c r="K77">
        <f>VLOOKUP(U14M[[#This Row],[Card]],U14Mcombined[],5,FALSE)</f>
        <v>56</v>
      </c>
      <c r="L77">
        <f>VLOOKUP(U14M[[#This Row],[Card]],U14MMWruns[],5,FALSE)</f>
        <v>52</v>
      </c>
    </row>
    <row r="78" spans="2:12" x14ac:dyDescent="0.25">
      <c r="B78">
        <v>82403</v>
      </c>
      <c r="C78" t="s">
        <v>175</v>
      </c>
      <c r="D78" t="s">
        <v>19</v>
      </c>
      <c r="E78">
        <v>5</v>
      </c>
      <c r="F78" s="5">
        <f>SUM(U14M[[#This Row],[Best SL]:[MW 5 of 7 Runs]])</f>
        <v>159</v>
      </c>
      <c r="G78">
        <f>VLOOKUP(U14M[[#This Row],[Card]],U14Mcombined[],6,FALSE)</f>
        <v>3</v>
      </c>
      <c r="H78">
        <f>VLOOKUP(U14M[[#This Row],[Card]],U14Mcombined[],7,FALSE)</f>
        <v>26</v>
      </c>
      <c r="I78">
        <f>VLOOKUP(U14M[[#This Row],[Card]],U14Mruns[],5,FALSE)</f>
        <v>3</v>
      </c>
      <c r="J78">
        <f>VLOOKUP(U14M[[#This Row],[Card]],U14Mruns[],6,FALSE)</f>
        <v>29</v>
      </c>
      <c r="K78">
        <f>VLOOKUP(U14M[[#This Row],[Card]],U14Mcombined[],5,FALSE)</f>
        <v>57</v>
      </c>
      <c r="L78">
        <f>VLOOKUP(U14M[[#This Row],[Card]],U14MMWruns[],5,FALSE)</f>
        <v>41</v>
      </c>
    </row>
    <row r="79" spans="2:12" x14ac:dyDescent="0.25">
      <c r="B79">
        <v>81455</v>
      </c>
      <c r="C79" t="s">
        <v>171</v>
      </c>
      <c r="D79" t="s">
        <v>19</v>
      </c>
      <c r="E79">
        <v>5</v>
      </c>
      <c r="F79" s="5">
        <f>SUM(U14M[[#This Row],[Best SL]:[MW 5 of 7 Runs]])</f>
        <v>129</v>
      </c>
      <c r="G79">
        <f>VLOOKUP(U14M[[#This Row],[Card]],U14Mcombined[],6,FALSE)</f>
        <v>24</v>
      </c>
      <c r="H79">
        <f>VLOOKUP(U14M[[#This Row],[Card]],U14Mcombined[],7,FALSE)</f>
        <v>10</v>
      </c>
      <c r="I79">
        <f>VLOOKUP(U14M[[#This Row],[Card]],U14Mruns[],5,FALSE)</f>
        <v>14</v>
      </c>
      <c r="J79">
        <f>VLOOKUP(U14M[[#This Row],[Card]],U14Mruns[],6,FALSE)</f>
        <v>8</v>
      </c>
      <c r="K79">
        <f>VLOOKUP(U14M[[#This Row],[Card]],U14Mcombined[],5,FALSE)</f>
        <v>20</v>
      </c>
      <c r="L79">
        <f>VLOOKUP(U14M[[#This Row],[Card]],U14MMWruns[],5,FALSE)</f>
        <v>53</v>
      </c>
    </row>
    <row r="80" spans="2:12" x14ac:dyDescent="0.25">
      <c r="B80">
        <v>81500</v>
      </c>
      <c r="C80" t="s">
        <v>131</v>
      </c>
      <c r="D80" t="s">
        <v>22</v>
      </c>
      <c r="E80">
        <v>5</v>
      </c>
      <c r="F80" s="5">
        <f>SUM(U14M[[#This Row],[Best SL]:[MW 5 of 7 Runs]])</f>
        <v>115</v>
      </c>
      <c r="G80">
        <f>VLOOKUP(U14M[[#This Row],[Card]],U14Mcombined[],6,FALSE)</f>
        <v>14</v>
      </c>
      <c r="H80">
        <f>VLOOKUP(U14M[[#This Row],[Card]],U14Mcombined[],7,FALSE)</f>
        <v>23</v>
      </c>
      <c r="I80">
        <f>VLOOKUP(U14M[[#This Row],[Card]],U14Mruns[],5,FALSE)</f>
        <v>21</v>
      </c>
      <c r="J80">
        <f>VLOOKUP(U14M[[#This Row],[Card]],U14Mruns[],6,FALSE)</f>
        <v>16</v>
      </c>
      <c r="K80">
        <f>VLOOKUP(U14M[[#This Row],[Card]],U14Mcombined[],5,FALSE)</f>
        <v>0</v>
      </c>
      <c r="L80">
        <f>VLOOKUP(U14M[[#This Row],[Card]],U14MMWruns[],5,FALSE)</f>
        <v>41</v>
      </c>
    </row>
    <row r="81" spans="2:12" x14ac:dyDescent="0.25">
      <c r="B81">
        <v>80615</v>
      </c>
      <c r="C81" s="5" t="s">
        <v>292</v>
      </c>
      <c r="D81" s="5" t="s">
        <v>19</v>
      </c>
      <c r="E81">
        <v>4</v>
      </c>
      <c r="F81" s="5">
        <f>SUM(U14M[[#This Row],[Best SL]:[MW 5 of 7 Runs]])</f>
        <v>78</v>
      </c>
      <c r="G81">
        <f>VLOOKUP(U14M[[#This Row],[Card]],U14Mcombined[],6,FALSE)</f>
        <v>4</v>
      </c>
      <c r="H81">
        <f>VLOOKUP(U14M[[#This Row],[Card]],U14Mcombined[],7,FALSE)</f>
        <v>9</v>
      </c>
      <c r="I81">
        <f>VLOOKUP(U14M[[#This Row],[Card]],U14Mruns[],5,FALSE)</f>
        <v>23</v>
      </c>
      <c r="J81">
        <f>VLOOKUP(U14M[[#This Row],[Card]],U14Mruns[],6,FALSE)</f>
        <v>5</v>
      </c>
      <c r="K81">
        <f>VLOOKUP(U14M[[#This Row],[Card]],U14Mcombined[],5,FALSE)</f>
        <v>10</v>
      </c>
      <c r="L81">
        <f>VLOOKUP(U14M[[#This Row],[Card]],U14MMWruns[],5,FALSE)</f>
        <v>27</v>
      </c>
    </row>
    <row r="82" spans="2:12" x14ac:dyDescent="0.25">
      <c r="B82">
        <v>76510</v>
      </c>
      <c r="C82" t="s">
        <v>186</v>
      </c>
      <c r="D82" t="s">
        <v>38</v>
      </c>
      <c r="E82">
        <v>4</v>
      </c>
      <c r="F82" s="5">
        <f>SUM(U14M[[#This Row],[Best SL]:[MW 5 of 7 Runs]])</f>
        <v>78</v>
      </c>
      <c r="G82">
        <f>VLOOKUP(U14M[[#This Row],[Card]],U14Mcombined[],6,FALSE)</f>
        <v>18</v>
      </c>
      <c r="H82">
        <f>VLOOKUP(U14M[[#This Row],[Card]],U14Mcombined[],7,FALSE)</f>
        <v>0</v>
      </c>
      <c r="I82">
        <f>VLOOKUP(U14M[[#This Row],[Card]],U14Mruns[],5,FALSE)</f>
        <v>11</v>
      </c>
      <c r="J82">
        <f>VLOOKUP(U14M[[#This Row],[Card]],U14Mruns[],6,FALSE)</f>
        <v>0</v>
      </c>
      <c r="K82">
        <f>VLOOKUP(U14M[[#This Row],[Card]],U14Mcombined[],5,FALSE)</f>
        <v>33</v>
      </c>
      <c r="L82">
        <f>VLOOKUP(U14M[[#This Row],[Card]],U14MMWruns[],5,FALSE)</f>
        <v>16</v>
      </c>
    </row>
    <row r="83" spans="2:12" x14ac:dyDescent="0.25">
      <c r="B83">
        <v>80605</v>
      </c>
      <c r="C83" t="s">
        <v>162</v>
      </c>
      <c r="D83" t="s">
        <v>163</v>
      </c>
      <c r="E83">
        <v>5</v>
      </c>
      <c r="F83" s="5">
        <f>SUM(U14M[[#This Row],[Best SL]:[MW 5 of 7 Runs]])</f>
        <v>77</v>
      </c>
      <c r="G83">
        <f>VLOOKUP(U14M[[#This Row],[Card]],U14Mcombined[],6,FALSE)</f>
        <v>0</v>
      </c>
      <c r="H83">
        <f>VLOOKUP(U14M[[#This Row],[Card]],U14Mcombined[],7,FALSE)</f>
        <v>0</v>
      </c>
      <c r="I83">
        <f>VLOOKUP(U14M[[#This Row],[Card]],U14Mruns[],5,FALSE)</f>
        <v>0</v>
      </c>
      <c r="J83">
        <f>VLOOKUP(U14M[[#This Row],[Card]],U14Mruns[],6,FALSE)</f>
        <v>0</v>
      </c>
      <c r="K83">
        <f>VLOOKUP(U14M[[#This Row],[Card]],U14Mcombined[],5,FALSE)</f>
        <v>42</v>
      </c>
      <c r="L83">
        <f>VLOOKUP(U14M[[#This Row],[Card]],U14MMWruns[],5,FALSE)</f>
        <v>35</v>
      </c>
    </row>
    <row r="84" spans="2:12" x14ac:dyDescent="0.25">
      <c r="B84">
        <v>78178</v>
      </c>
      <c r="C84" t="s">
        <v>194</v>
      </c>
      <c r="D84" t="s">
        <v>61</v>
      </c>
      <c r="E84">
        <v>4</v>
      </c>
      <c r="F84" s="5">
        <f>SUM(U14M[[#This Row],[Best SL]:[MW 5 of 7 Runs]])</f>
        <v>70</v>
      </c>
      <c r="G84">
        <f>VLOOKUP(U14M[[#This Row],[Card]],U14Mcombined[],6,FALSE)</f>
        <v>25</v>
      </c>
      <c r="H84">
        <f>VLOOKUP(U14M[[#This Row],[Card]],U14Mcombined[],7,FALSE)</f>
        <v>3</v>
      </c>
      <c r="I84">
        <f>VLOOKUP(U14M[[#This Row],[Card]],U14Mruns[],5,FALSE)</f>
        <v>15</v>
      </c>
      <c r="J84">
        <f>VLOOKUP(U14M[[#This Row],[Card]],U14Mruns[],6,FALSE)</f>
        <v>1</v>
      </c>
      <c r="K84">
        <f>VLOOKUP(U14M[[#This Row],[Card]],U14Mcombined[],5,FALSE)</f>
        <v>4</v>
      </c>
      <c r="L84">
        <f>VLOOKUP(U14M[[#This Row],[Card]],U14MMWruns[],5,FALSE)</f>
        <v>22</v>
      </c>
    </row>
    <row r="85" spans="2:12" x14ac:dyDescent="0.25">
      <c r="B85">
        <v>85448</v>
      </c>
      <c r="C85" t="s">
        <v>224</v>
      </c>
      <c r="D85" t="s">
        <v>101</v>
      </c>
      <c r="E85">
        <v>4</v>
      </c>
      <c r="F85" s="5">
        <f>SUM(U14M[[#This Row],[Best SL]:[MW 5 of 7 Runs]])</f>
        <v>68</v>
      </c>
      <c r="G85">
        <f>VLOOKUP(U14M[[#This Row],[Card]],U14Mcombined[],6,FALSE)</f>
        <v>0</v>
      </c>
      <c r="H85">
        <f>VLOOKUP(U14M[[#This Row],[Card]],U14Mcombined[],7,FALSE)</f>
        <v>21</v>
      </c>
      <c r="I85">
        <f>VLOOKUP(U14M[[#This Row],[Card]],U14Mruns[],5,FALSE)</f>
        <v>18</v>
      </c>
      <c r="J85">
        <f>VLOOKUP(U14M[[#This Row],[Card]],U14Mruns[],6,FALSE)</f>
        <v>12</v>
      </c>
      <c r="K85">
        <f>VLOOKUP(U14M[[#This Row],[Card]],U14Mcombined[],5,FALSE)</f>
        <v>0</v>
      </c>
      <c r="L85">
        <f>VLOOKUP(U14M[[#This Row],[Card]],U14MMWruns[],5,FALSE)</f>
        <v>17</v>
      </c>
    </row>
    <row r="86" spans="2:12" x14ac:dyDescent="0.25">
      <c r="B86">
        <v>89505</v>
      </c>
      <c r="C86" t="s">
        <v>387</v>
      </c>
      <c r="D86" t="s">
        <v>388</v>
      </c>
      <c r="E86" s="5">
        <v>5</v>
      </c>
      <c r="F86" s="5">
        <f>SUM(U14M[[#This Row],[Best SL]:[MW 5 of 7 Runs]])</f>
        <v>66</v>
      </c>
      <c r="G86">
        <f>VLOOKUP(U14M[[#This Row],[Card]],U14Mcombined[],6,FALSE)</f>
        <v>14</v>
      </c>
      <c r="H86">
        <f>VLOOKUP(U14M[[#This Row],[Card]],U14Mcombined[],7,FALSE)</f>
        <v>0</v>
      </c>
      <c r="I86">
        <f>VLOOKUP(U14M[[#This Row],[Card]],U14Mruns[],5,FALSE)</f>
        <v>8</v>
      </c>
      <c r="J86">
        <f>VLOOKUP(U14M[[#This Row],[Card]],U14Mruns[],6,FALSE)</f>
        <v>41</v>
      </c>
      <c r="K86">
        <f>VLOOKUP(U14M[[#This Row],[Card]],U14Mcombined[],5,FALSE)</f>
        <v>1</v>
      </c>
      <c r="L86">
        <f>VLOOKUP(U14M[[#This Row],[Card]],U14MMWruns[],5,FALSE)</f>
        <v>2</v>
      </c>
    </row>
    <row r="87" spans="2:12" x14ac:dyDescent="0.25">
      <c r="B87">
        <v>78649</v>
      </c>
      <c r="C87" s="5" t="s">
        <v>308</v>
      </c>
      <c r="D87" s="5" t="s">
        <v>309</v>
      </c>
      <c r="E87" s="5">
        <v>4</v>
      </c>
      <c r="F87" s="5">
        <f>SUM(U14M[[#This Row],[Best SL]:[MW 5 of 7 Runs]])</f>
        <v>64</v>
      </c>
      <c r="G87">
        <f>VLOOKUP(U14M[[#This Row],[Card]],U14Mcombined[],6,FALSE)</f>
        <v>0</v>
      </c>
      <c r="H87">
        <f>VLOOKUP(U14M[[#This Row],[Card]],U14Mcombined[],7,FALSE)</f>
        <v>0</v>
      </c>
      <c r="I87">
        <f>VLOOKUP(U14M[[#This Row],[Card]],U14Mruns[],5,FALSE)</f>
        <v>0</v>
      </c>
      <c r="J87">
        <f>VLOOKUP(U14M[[#This Row],[Card]],U14Mruns[],6,FALSE)</f>
        <v>0</v>
      </c>
      <c r="K87">
        <f>VLOOKUP(U14M[[#This Row],[Card]],U14Mcombined[],5,FALSE)</f>
        <v>36</v>
      </c>
      <c r="L87">
        <f>VLOOKUP(U14M[[#This Row],[Card]],U14MMWruns[],5,FALSE)</f>
        <v>28</v>
      </c>
    </row>
    <row r="88" spans="2:12" x14ac:dyDescent="0.25">
      <c r="B88">
        <v>85546</v>
      </c>
      <c r="C88" t="s">
        <v>221</v>
      </c>
      <c r="D88" t="s">
        <v>117</v>
      </c>
      <c r="E88">
        <v>4</v>
      </c>
      <c r="F88" s="5">
        <f>SUM(U14M[[#This Row],[Best SL]:[MW 5 of 7 Runs]])</f>
        <v>63</v>
      </c>
      <c r="G88">
        <f>VLOOKUP(U14M[[#This Row],[Card]],U14Mcombined[],6,FALSE)</f>
        <v>8</v>
      </c>
      <c r="H88">
        <f>VLOOKUP(U14M[[#This Row],[Card]],U14Mcombined[],7,FALSE)</f>
        <v>20</v>
      </c>
      <c r="I88">
        <f>VLOOKUP(U14M[[#This Row],[Card]],U14Mruns[],5,FALSE)</f>
        <v>5</v>
      </c>
      <c r="J88">
        <f>VLOOKUP(U14M[[#This Row],[Card]],U14Mruns[],6,FALSE)</f>
        <v>26</v>
      </c>
      <c r="K88">
        <f>VLOOKUP(U14M[[#This Row],[Card]],U14Mcombined[],5,FALSE)</f>
        <v>0</v>
      </c>
      <c r="L88">
        <f>VLOOKUP(U14M[[#This Row],[Card]],U14MMWruns[],5,FALSE)</f>
        <v>4</v>
      </c>
    </row>
    <row r="89" spans="2:12" x14ac:dyDescent="0.25">
      <c r="B89">
        <v>79148</v>
      </c>
      <c r="C89" t="s">
        <v>191</v>
      </c>
      <c r="D89" t="s">
        <v>31</v>
      </c>
      <c r="E89">
        <v>4</v>
      </c>
      <c r="F89" s="5">
        <f>SUM(U14M[[#This Row],[Best SL]:[MW 5 of 7 Runs]])</f>
        <v>61</v>
      </c>
      <c r="G89">
        <f>VLOOKUP(U14M[[#This Row],[Card]],U14Mcombined[],6,FALSE)</f>
        <v>20</v>
      </c>
      <c r="H89">
        <f>VLOOKUP(U14M[[#This Row],[Card]],U14Mcombined[],7,FALSE)</f>
        <v>8</v>
      </c>
      <c r="I89">
        <f>VLOOKUP(U14M[[#This Row],[Card]],U14Mruns[],5,FALSE)</f>
        <v>13</v>
      </c>
      <c r="J89">
        <f>VLOOKUP(U14M[[#This Row],[Card]],U14Mruns[],6,FALSE)</f>
        <v>1</v>
      </c>
      <c r="K89">
        <f>VLOOKUP(U14M[[#This Row],[Card]],U14Mcombined[],5,FALSE)</f>
        <v>3</v>
      </c>
      <c r="L89">
        <f>VLOOKUP(U14M[[#This Row],[Card]],U14MMWruns[],5,FALSE)</f>
        <v>16</v>
      </c>
    </row>
    <row r="90" spans="2:12" x14ac:dyDescent="0.25">
      <c r="B90">
        <v>81505</v>
      </c>
      <c r="C90" s="5" t="s">
        <v>315</v>
      </c>
      <c r="D90" s="5" t="s">
        <v>22</v>
      </c>
      <c r="E90" s="5">
        <v>5</v>
      </c>
      <c r="F90" s="5">
        <f>SUM(U14M[[#This Row],[Best SL]:[MW 5 of 7 Runs]])</f>
        <v>60</v>
      </c>
      <c r="G90">
        <f>VLOOKUP(U14M[[#This Row],[Card]],U14Mcombined[],6,FALSE)</f>
        <v>10</v>
      </c>
      <c r="H90">
        <f>VLOOKUP(U14M[[#This Row],[Card]],U14Mcombined[],7,FALSE)</f>
        <v>0</v>
      </c>
      <c r="I90">
        <f>VLOOKUP(U14M[[#This Row],[Card]],U14Mruns[],5,FALSE)</f>
        <v>10</v>
      </c>
      <c r="J90">
        <f>VLOOKUP(U14M[[#This Row],[Card]],U14Mruns[],6,FALSE)</f>
        <v>0</v>
      </c>
      <c r="K90">
        <f>VLOOKUP(U14M[[#This Row],[Card]],U14Mcombined[],5,FALSE)</f>
        <v>29</v>
      </c>
      <c r="L90">
        <f>VLOOKUP(U14M[[#This Row],[Card]],U14MMWruns[],5,FALSE)</f>
        <v>11</v>
      </c>
    </row>
    <row r="91" spans="2:12" x14ac:dyDescent="0.25">
      <c r="B91">
        <v>78669</v>
      </c>
      <c r="C91" t="s">
        <v>116</v>
      </c>
      <c r="D91" t="s">
        <v>117</v>
      </c>
      <c r="E91">
        <v>4</v>
      </c>
      <c r="F91" s="5">
        <f>SUM(U14M[[#This Row],[Best SL]:[MW 5 of 7 Runs]])</f>
        <v>55</v>
      </c>
      <c r="G91">
        <f>VLOOKUP(U14M[[#This Row],[Card]],U14Mcombined[],6,FALSE)</f>
        <v>0</v>
      </c>
      <c r="H91">
        <f>VLOOKUP(U14M[[#This Row],[Card]],U14Mcombined[],7,FALSE)</f>
        <v>0</v>
      </c>
      <c r="I91">
        <f>VLOOKUP(U14M[[#This Row],[Card]],U14Mruns[],5,FALSE)</f>
        <v>20</v>
      </c>
      <c r="J91">
        <f>VLOOKUP(U14M[[#This Row],[Card]],U14Mruns[],6,FALSE)</f>
        <v>22</v>
      </c>
      <c r="K91">
        <f>VLOOKUP(U14M[[#This Row],[Card]],U14Mcombined[],5,FALSE)</f>
        <v>0</v>
      </c>
      <c r="L91">
        <f>VLOOKUP(U14M[[#This Row],[Card]],U14MMWruns[],5,FALSE)</f>
        <v>13</v>
      </c>
    </row>
    <row r="92" spans="2:12" x14ac:dyDescent="0.25">
      <c r="B92">
        <v>81736</v>
      </c>
      <c r="C92" t="s">
        <v>184</v>
      </c>
      <c r="D92" t="s">
        <v>31</v>
      </c>
      <c r="E92">
        <v>4</v>
      </c>
      <c r="F92" s="5">
        <f>SUM(U14M[[#This Row],[Best SL]:[MW 5 of 7 Runs]])</f>
        <v>51</v>
      </c>
      <c r="G92">
        <f>VLOOKUP(U14M[[#This Row],[Card]],U14Mcombined[],6,FALSE)</f>
        <v>0</v>
      </c>
      <c r="H92">
        <f>VLOOKUP(U14M[[#This Row],[Card]],U14Mcombined[],7,FALSE)</f>
        <v>24</v>
      </c>
      <c r="I92">
        <f>VLOOKUP(U14M[[#This Row],[Card]],U14Mruns[],5,FALSE)</f>
        <v>0</v>
      </c>
      <c r="J92">
        <f>VLOOKUP(U14M[[#This Row],[Card]],U14Mruns[],6,FALSE)</f>
        <v>22</v>
      </c>
      <c r="K92">
        <f>VLOOKUP(U14M[[#This Row],[Card]],U14Mcombined[],5,FALSE)</f>
        <v>0</v>
      </c>
      <c r="L92">
        <f>VLOOKUP(U14M[[#This Row],[Card]],U14MMWruns[],5,FALSE)</f>
        <v>5</v>
      </c>
    </row>
    <row r="93" spans="2:12" x14ac:dyDescent="0.25">
      <c r="B93">
        <v>82442</v>
      </c>
      <c r="C93" t="s">
        <v>204</v>
      </c>
      <c r="D93" t="s">
        <v>42</v>
      </c>
      <c r="E93">
        <v>5</v>
      </c>
      <c r="F93" s="5">
        <f>SUM(U14M[[#This Row],[Best SL]:[MW 5 of 7 Runs]])</f>
        <v>50</v>
      </c>
      <c r="G93">
        <f>VLOOKUP(U14M[[#This Row],[Card]],U14Mcombined[],6,FALSE)</f>
        <v>7</v>
      </c>
      <c r="H93">
        <f>VLOOKUP(U14M[[#This Row],[Card]],U14Mcombined[],7,FALSE)</f>
        <v>0</v>
      </c>
      <c r="I93">
        <f>VLOOKUP(U14M[[#This Row],[Card]],U14Mruns[],5,FALSE)</f>
        <v>6</v>
      </c>
      <c r="J93">
        <f>VLOOKUP(U14M[[#This Row],[Card]],U14Mruns[],6,FALSE)</f>
        <v>4</v>
      </c>
      <c r="K93">
        <f>VLOOKUP(U14M[[#This Row],[Card]],U14Mcombined[],5,FALSE)</f>
        <v>27</v>
      </c>
      <c r="L93">
        <f>VLOOKUP(U14M[[#This Row],[Card]],U14MMWruns[],5,FALSE)</f>
        <v>6</v>
      </c>
    </row>
    <row r="94" spans="2:12" x14ac:dyDescent="0.25">
      <c r="B94">
        <v>80692</v>
      </c>
      <c r="C94" s="5" t="s">
        <v>317</v>
      </c>
      <c r="D94" s="5" t="s">
        <v>31</v>
      </c>
      <c r="E94" s="5">
        <v>5</v>
      </c>
      <c r="F94" s="5">
        <f>SUM(U14M[[#This Row],[Best SL]:[MW 5 of 7 Runs]])</f>
        <v>49</v>
      </c>
      <c r="G94">
        <f>VLOOKUP(U14M[[#This Row],[Card]],U14Mcombined[],6,FALSE)</f>
        <v>5</v>
      </c>
      <c r="H94">
        <f>VLOOKUP(U14M[[#This Row],[Card]],U14Mcombined[],7,FALSE)</f>
        <v>0</v>
      </c>
      <c r="I94">
        <f>VLOOKUP(U14M[[#This Row],[Card]],U14Mruns[],5,FALSE)</f>
        <v>0</v>
      </c>
      <c r="J94">
        <f>VLOOKUP(U14M[[#This Row],[Card]],U14Mruns[],6,FALSE)</f>
        <v>2</v>
      </c>
      <c r="K94">
        <f>VLOOKUP(U14M[[#This Row],[Card]],U14Mcombined[],5,FALSE)</f>
        <v>30</v>
      </c>
      <c r="L94">
        <f>VLOOKUP(U14M[[#This Row],[Card]],U14MMWruns[],5,FALSE)</f>
        <v>12</v>
      </c>
    </row>
    <row r="95" spans="2:12" x14ac:dyDescent="0.25">
      <c r="B95">
        <v>80662</v>
      </c>
      <c r="C95" t="s">
        <v>158</v>
      </c>
      <c r="D95" t="s">
        <v>61</v>
      </c>
      <c r="E95">
        <v>4</v>
      </c>
      <c r="F95" s="5">
        <f>SUM(U14M[[#This Row],[Best SL]:[MW 5 of 7 Runs]])</f>
        <v>48</v>
      </c>
      <c r="G95">
        <f>VLOOKUP(U14M[[#This Row],[Card]],U14Mcombined[],6,FALSE)</f>
        <v>22</v>
      </c>
      <c r="H95">
        <f>VLOOKUP(U14M[[#This Row],[Card]],U14Mcombined[],7,FALSE)</f>
        <v>0</v>
      </c>
      <c r="I95">
        <f>VLOOKUP(U14M[[#This Row],[Card]],U14Mruns[],5,FALSE)</f>
        <v>14</v>
      </c>
      <c r="J95">
        <f>VLOOKUP(U14M[[#This Row],[Card]],U14Mruns[],6,FALSE)</f>
        <v>1</v>
      </c>
      <c r="K95">
        <f>VLOOKUP(U14M[[#This Row],[Card]],U14Mcombined[],5,FALSE)</f>
        <v>0</v>
      </c>
      <c r="L95">
        <f>VLOOKUP(U14M[[#This Row],[Card]],U14MMWruns[],5,FALSE)</f>
        <v>11</v>
      </c>
    </row>
    <row r="96" spans="2:12" x14ac:dyDescent="0.25">
      <c r="B96">
        <v>85566</v>
      </c>
      <c r="C96" t="s">
        <v>150</v>
      </c>
      <c r="D96" t="s">
        <v>117</v>
      </c>
      <c r="E96">
        <v>5</v>
      </c>
      <c r="F96" s="5">
        <f>SUM(U14M[[#This Row],[Best SL]:[MW 5 of 7 Runs]])</f>
        <v>43</v>
      </c>
      <c r="G96">
        <f>VLOOKUP(U14M[[#This Row],[Card]],U14Mcombined[],6,FALSE)</f>
        <v>0</v>
      </c>
      <c r="H96">
        <f>VLOOKUP(U14M[[#This Row],[Card]],U14Mcombined[],7,FALSE)</f>
        <v>0</v>
      </c>
      <c r="I96">
        <f>VLOOKUP(U14M[[#This Row],[Card]],U14Mruns[],5,FALSE)</f>
        <v>16</v>
      </c>
      <c r="J96">
        <f>VLOOKUP(U14M[[#This Row],[Card]],U14Mruns[],6,FALSE)</f>
        <v>5</v>
      </c>
      <c r="K96">
        <f>VLOOKUP(U14M[[#This Row],[Card]],U14Mcombined[],5,FALSE)</f>
        <v>0</v>
      </c>
      <c r="L96">
        <f>VLOOKUP(U14M[[#This Row],[Card]],U14MMWruns[],5,FALSE)</f>
        <v>22</v>
      </c>
    </row>
    <row r="97" spans="2:12" x14ac:dyDescent="0.25">
      <c r="B97">
        <v>81740</v>
      </c>
      <c r="C97" t="s">
        <v>160</v>
      </c>
      <c r="D97" t="s">
        <v>31</v>
      </c>
      <c r="E97">
        <v>4</v>
      </c>
      <c r="F97" s="5">
        <f>SUM(U14M[[#This Row],[Best SL]:[MW 5 of 7 Runs]])</f>
        <v>41</v>
      </c>
      <c r="G97">
        <f>VLOOKUP(U14M[[#This Row],[Card]],U14Mcombined[],6,FALSE)</f>
        <v>0</v>
      </c>
      <c r="H97">
        <f>VLOOKUP(U14M[[#This Row],[Card]],U14Mcombined[],7,FALSE)</f>
        <v>0</v>
      </c>
      <c r="I97">
        <f>VLOOKUP(U14M[[#This Row],[Card]],U14Mruns[],5,FALSE)</f>
        <v>16</v>
      </c>
      <c r="J97">
        <f>VLOOKUP(U14M[[#This Row],[Card]],U14Mruns[],6,FALSE)</f>
        <v>25</v>
      </c>
      <c r="K97">
        <f>VLOOKUP(U14M[[#This Row],[Card]],U14Mcombined[],5,FALSE)</f>
        <v>0</v>
      </c>
      <c r="L97">
        <f>VLOOKUP(U14M[[#This Row],[Card]],U14MMWruns[],5,FALSE)</f>
        <v>0</v>
      </c>
    </row>
    <row r="98" spans="2:12" x14ac:dyDescent="0.25">
      <c r="B98">
        <v>78504</v>
      </c>
      <c r="C98" t="s">
        <v>210</v>
      </c>
      <c r="D98" t="s">
        <v>19</v>
      </c>
      <c r="E98">
        <v>5</v>
      </c>
      <c r="F98" s="5">
        <f>SUM(U14M[[#This Row],[Best SL]:[MW 5 of 7 Runs]])</f>
        <v>36</v>
      </c>
      <c r="G98">
        <f>VLOOKUP(U14M[[#This Row],[Card]],U14Mcombined[],6,FALSE)</f>
        <v>0</v>
      </c>
      <c r="H98">
        <f>VLOOKUP(U14M[[#This Row],[Card]],U14Mcombined[],7,FALSE)</f>
        <v>0</v>
      </c>
      <c r="I98">
        <f>VLOOKUP(U14M[[#This Row],[Card]],U14Mruns[],5,FALSE)</f>
        <v>0</v>
      </c>
      <c r="J98">
        <f>VLOOKUP(U14M[[#This Row],[Card]],U14Mruns[],6,FALSE)</f>
        <v>0</v>
      </c>
      <c r="K98">
        <f>VLOOKUP(U14M[[#This Row],[Card]],U14Mcombined[],5,FALSE)</f>
        <v>28</v>
      </c>
      <c r="L98">
        <f>VLOOKUP(U14M[[#This Row],[Card]],U14MMWruns[],5,FALSE)</f>
        <v>8</v>
      </c>
    </row>
    <row r="99" spans="2:12" x14ac:dyDescent="0.25">
      <c r="B99">
        <v>87999</v>
      </c>
      <c r="C99" t="s">
        <v>179</v>
      </c>
      <c r="D99" t="s">
        <v>19</v>
      </c>
      <c r="E99">
        <v>5</v>
      </c>
      <c r="F99" s="5">
        <f>SUM(U14M[[#This Row],[Best SL]:[MW 5 of 7 Runs]])</f>
        <v>36</v>
      </c>
      <c r="G99">
        <f>VLOOKUP(U14M[[#This Row],[Card]],U14Mcombined[],6,FALSE)</f>
        <v>11</v>
      </c>
      <c r="H99">
        <f>VLOOKUP(U14M[[#This Row],[Card]],U14Mcombined[],7,FALSE)</f>
        <v>0</v>
      </c>
      <c r="I99">
        <f>VLOOKUP(U14M[[#This Row],[Card]],U14Mruns[],5,FALSE)</f>
        <v>9</v>
      </c>
      <c r="J99">
        <f>VLOOKUP(U14M[[#This Row],[Card]],U14Mruns[],6,FALSE)</f>
        <v>0</v>
      </c>
      <c r="K99">
        <f>VLOOKUP(U14M[[#This Row],[Card]],U14Mcombined[],5,FALSE)</f>
        <v>0</v>
      </c>
      <c r="L99">
        <f>VLOOKUP(U14M[[#This Row],[Card]],U14MMWruns[],5,FALSE)</f>
        <v>16</v>
      </c>
    </row>
    <row r="100" spans="2:12" x14ac:dyDescent="0.25">
      <c r="B100">
        <v>82143</v>
      </c>
      <c r="C100" t="s">
        <v>111</v>
      </c>
      <c r="D100" t="s">
        <v>112</v>
      </c>
      <c r="E100">
        <v>5</v>
      </c>
      <c r="F100" s="5">
        <f>SUM(U14M[[#This Row],[Best SL]:[MW 5 of 7 Runs]])</f>
        <v>33</v>
      </c>
      <c r="G100">
        <f>VLOOKUP(U14M[[#This Row],[Card]],U14Mcombined[],6,FALSE)</f>
        <v>0</v>
      </c>
      <c r="H100">
        <f>VLOOKUP(U14M[[#This Row],[Card]],U14Mcombined[],7,FALSE)</f>
        <v>0</v>
      </c>
      <c r="I100">
        <f>VLOOKUP(U14M[[#This Row],[Card]],U14Mruns[],5,FALSE)</f>
        <v>0</v>
      </c>
      <c r="J100">
        <f>VLOOKUP(U14M[[#This Row],[Card]],U14Mruns[],6,FALSE)</f>
        <v>0</v>
      </c>
      <c r="K100">
        <f>VLOOKUP(U14M[[#This Row],[Card]],U14Mcombined[],5,FALSE)</f>
        <v>5</v>
      </c>
      <c r="L100">
        <f>VLOOKUP(U14M[[#This Row],[Card]],U14MMWruns[],5,FALSE)</f>
        <v>28</v>
      </c>
    </row>
    <row r="101" spans="2:12" x14ac:dyDescent="0.25">
      <c r="B101">
        <v>85454</v>
      </c>
      <c r="C101" t="s">
        <v>218</v>
      </c>
      <c r="D101" t="s">
        <v>54</v>
      </c>
      <c r="E101">
        <v>5</v>
      </c>
      <c r="F101" s="5">
        <f>SUM(U14M[[#This Row],[Best SL]:[MW 5 of 7 Runs]])</f>
        <v>33</v>
      </c>
      <c r="G101">
        <f>VLOOKUP(U14M[[#This Row],[Card]],U14Mcombined[],6,FALSE)</f>
        <v>19</v>
      </c>
      <c r="H101">
        <f>VLOOKUP(U14M[[#This Row],[Card]],U14Mcombined[],7,FALSE)</f>
        <v>1</v>
      </c>
      <c r="I101">
        <f>VLOOKUP(U14M[[#This Row],[Card]],U14Mruns[],5,FALSE)</f>
        <v>13</v>
      </c>
      <c r="J101">
        <f>VLOOKUP(U14M[[#This Row],[Card]],U14Mruns[],6,FALSE)</f>
        <v>0</v>
      </c>
      <c r="K101">
        <f>VLOOKUP(U14M[[#This Row],[Card]],U14Mcombined[],5,FALSE)</f>
        <v>0</v>
      </c>
      <c r="L101">
        <f>VLOOKUP(U14M[[#This Row],[Card]],U14MMWruns[],5,FALSE)</f>
        <v>0</v>
      </c>
    </row>
    <row r="102" spans="2:12" x14ac:dyDescent="0.25">
      <c r="B102">
        <v>77258</v>
      </c>
      <c r="C102" t="s">
        <v>214</v>
      </c>
      <c r="D102" t="s">
        <v>42</v>
      </c>
      <c r="E102">
        <v>4</v>
      </c>
      <c r="F102" s="5">
        <f>SUM(U14M[[#This Row],[Best SL]:[MW 5 of 7 Runs]])</f>
        <v>31</v>
      </c>
      <c r="G102">
        <f>VLOOKUP(U14M[[#This Row],[Card]],U14Mcombined[],6,FALSE)</f>
        <v>0</v>
      </c>
      <c r="H102">
        <f>VLOOKUP(U14M[[#This Row],[Card]],U14Mcombined[],7,FALSE)</f>
        <v>0</v>
      </c>
      <c r="I102">
        <f>VLOOKUP(U14M[[#This Row],[Card]],U14Mruns[],5,FALSE)</f>
        <v>0</v>
      </c>
      <c r="J102">
        <f>VLOOKUP(U14M[[#This Row],[Card]],U14Mruns[],6,FALSE)</f>
        <v>31</v>
      </c>
      <c r="K102">
        <f>VLOOKUP(U14M[[#This Row],[Card]],U14Mcombined[],5,FALSE)</f>
        <v>0</v>
      </c>
      <c r="L102">
        <f>VLOOKUP(U14M[[#This Row],[Card]],U14MMWruns[],5,FALSE)</f>
        <v>0</v>
      </c>
    </row>
    <row r="103" spans="2:12" x14ac:dyDescent="0.25">
      <c r="B103">
        <v>81801</v>
      </c>
      <c r="C103" t="s">
        <v>208</v>
      </c>
      <c r="D103" t="s">
        <v>61</v>
      </c>
      <c r="E103">
        <v>5</v>
      </c>
      <c r="F103" s="5">
        <f>SUM(U14M[[#This Row],[Best SL]:[MW 5 of 7 Runs]])</f>
        <v>30</v>
      </c>
      <c r="G103">
        <f>VLOOKUP(U14M[[#This Row],[Card]],U14Mcombined[],6,FALSE)</f>
        <v>2</v>
      </c>
      <c r="H103">
        <f>VLOOKUP(U14M[[#This Row],[Card]],U14Mcombined[],7,FALSE)</f>
        <v>0</v>
      </c>
      <c r="I103">
        <f>VLOOKUP(U14M[[#This Row],[Card]],U14Mruns[],5,FALSE)</f>
        <v>1</v>
      </c>
      <c r="J103">
        <f>VLOOKUP(U14M[[#This Row],[Card]],U14Mruns[],6,FALSE)</f>
        <v>0</v>
      </c>
      <c r="K103">
        <f>VLOOKUP(U14M[[#This Row],[Card]],U14Mcombined[],5,FALSE)</f>
        <v>25</v>
      </c>
      <c r="L103">
        <f>VLOOKUP(U14M[[#This Row],[Card]],U14MMWruns[],5,FALSE)</f>
        <v>2</v>
      </c>
    </row>
    <row r="104" spans="2:12" x14ac:dyDescent="0.25">
      <c r="B104">
        <v>81880</v>
      </c>
      <c r="C104" t="s">
        <v>212</v>
      </c>
      <c r="D104" t="s">
        <v>61</v>
      </c>
      <c r="E104">
        <v>5</v>
      </c>
      <c r="F104" s="5">
        <f>SUM(U14M[[#This Row],[Best SL]:[MW 5 of 7 Runs]])</f>
        <v>24</v>
      </c>
      <c r="G104">
        <f>VLOOKUP(U14M[[#This Row],[Card]],U14Mcombined[],6,FALSE)</f>
        <v>0</v>
      </c>
      <c r="H104">
        <f>VLOOKUP(U14M[[#This Row],[Card]],U14Mcombined[],7,FALSE)</f>
        <v>0</v>
      </c>
      <c r="I104">
        <f>VLOOKUP(U14M[[#This Row],[Card]],U14Mruns[],5,FALSE)</f>
        <v>0</v>
      </c>
      <c r="J104">
        <f>VLOOKUP(U14M[[#This Row],[Card]],U14Mruns[],6,FALSE)</f>
        <v>0</v>
      </c>
      <c r="K104">
        <f>VLOOKUP(U14M[[#This Row],[Card]],U14Mcombined[],5,FALSE)</f>
        <v>24</v>
      </c>
      <c r="L104">
        <f>VLOOKUP(U14M[[#This Row],[Card]],U14MMWruns[],5,FALSE)</f>
        <v>0</v>
      </c>
    </row>
    <row r="105" spans="2:12" x14ac:dyDescent="0.25">
      <c r="B105">
        <v>86207</v>
      </c>
      <c r="C105" s="5" t="s">
        <v>294</v>
      </c>
      <c r="D105" s="5" t="s">
        <v>54</v>
      </c>
      <c r="E105">
        <v>5</v>
      </c>
      <c r="F105" s="5">
        <f>SUM(U14M[[#This Row],[Best SL]:[MW 5 of 7 Runs]])</f>
        <v>24</v>
      </c>
      <c r="G105">
        <f>VLOOKUP(U14M[[#This Row],[Card]],U14Mcombined[],6,FALSE)</f>
        <v>6</v>
      </c>
      <c r="H105">
        <f>VLOOKUP(U14M[[#This Row],[Card]],U14Mcombined[],7,FALSE)</f>
        <v>0</v>
      </c>
      <c r="I105">
        <f>VLOOKUP(U14M[[#This Row],[Card]],U14Mruns[],5,FALSE)</f>
        <v>0</v>
      </c>
      <c r="J105">
        <f>VLOOKUP(U14M[[#This Row],[Card]],U14Mruns[],6,FALSE)</f>
        <v>0</v>
      </c>
      <c r="K105">
        <f>VLOOKUP(U14M[[#This Row],[Card]],U14Mcombined[],5,FALSE)</f>
        <v>0</v>
      </c>
      <c r="L105">
        <f>VLOOKUP(U14M[[#This Row],[Card]],U14MMWruns[],5,FALSE)</f>
        <v>18</v>
      </c>
    </row>
    <row r="106" spans="2:12" x14ac:dyDescent="0.25">
      <c r="B106">
        <v>80627</v>
      </c>
      <c r="C106" t="s">
        <v>222</v>
      </c>
      <c r="D106" t="s">
        <v>19</v>
      </c>
      <c r="E106">
        <v>5</v>
      </c>
      <c r="F106" s="5">
        <f>SUM(U14M[[#This Row],[Best SL]:[MW 5 of 7 Runs]])</f>
        <v>22</v>
      </c>
      <c r="G106">
        <f>VLOOKUP(U14M[[#This Row],[Card]],U14Mcombined[],6,FALSE)</f>
        <v>7</v>
      </c>
      <c r="H106">
        <f>VLOOKUP(U14M[[#This Row],[Card]],U14Mcombined[],7,FALSE)</f>
        <v>0</v>
      </c>
      <c r="I106">
        <f>VLOOKUP(U14M[[#This Row],[Card]],U14Mruns[],5,FALSE)</f>
        <v>8</v>
      </c>
      <c r="J106">
        <f>VLOOKUP(U14M[[#This Row],[Card]],U14Mruns[],6,FALSE)</f>
        <v>7</v>
      </c>
      <c r="K106">
        <f>VLOOKUP(U14M[[#This Row],[Card]],U14Mcombined[],5,FALSE)</f>
        <v>0</v>
      </c>
      <c r="L106">
        <f>VLOOKUP(U14M[[#This Row],[Card]],U14MMWruns[],5,FALSE)</f>
        <v>0</v>
      </c>
    </row>
    <row r="107" spans="2:12" x14ac:dyDescent="0.25">
      <c r="B107">
        <v>84692</v>
      </c>
      <c r="C107" t="s">
        <v>173</v>
      </c>
      <c r="D107" t="s">
        <v>22</v>
      </c>
      <c r="E107">
        <v>4</v>
      </c>
      <c r="F107" s="5">
        <f>SUM(U14M[[#This Row],[Best SL]:[MW 5 of 7 Runs]])</f>
        <v>22</v>
      </c>
      <c r="G107">
        <f>VLOOKUP(U14M[[#This Row],[Card]],U14Mcombined[],6,FALSE)</f>
        <v>0</v>
      </c>
      <c r="H107">
        <f>VLOOKUP(U14M[[#This Row],[Card]],U14Mcombined[],7,FALSE)</f>
        <v>0</v>
      </c>
      <c r="I107">
        <f>VLOOKUP(U14M[[#This Row],[Card]],U14Mruns[],5,FALSE)</f>
        <v>1</v>
      </c>
      <c r="J107">
        <f>VLOOKUP(U14M[[#This Row],[Card]],U14Mruns[],6,FALSE)</f>
        <v>17</v>
      </c>
      <c r="K107">
        <f>VLOOKUP(U14M[[#This Row],[Card]],U14Mcombined[],5,FALSE)</f>
        <v>4</v>
      </c>
      <c r="L107">
        <f>VLOOKUP(U14M[[#This Row],[Card]],U14MMWruns[],5,FALSE)</f>
        <v>0</v>
      </c>
    </row>
    <row r="108" spans="2:12" x14ac:dyDescent="0.25">
      <c r="B108">
        <v>80830</v>
      </c>
      <c r="C108" t="s">
        <v>217</v>
      </c>
      <c r="D108" t="s">
        <v>54</v>
      </c>
      <c r="E108">
        <v>5</v>
      </c>
      <c r="F108" s="5">
        <f>SUM(U14M[[#This Row],[Best SL]:[MW 5 of 7 Runs]])</f>
        <v>21</v>
      </c>
      <c r="G108">
        <f>VLOOKUP(U14M[[#This Row],[Card]],U14Mcombined[],6,FALSE)</f>
        <v>8</v>
      </c>
      <c r="H108">
        <f>VLOOKUP(U14M[[#This Row],[Card]],U14Mcombined[],7,FALSE)</f>
        <v>0</v>
      </c>
      <c r="I108">
        <f>VLOOKUP(U14M[[#This Row],[Card]],U14Mruns[],5,FALSE)</f>
        <v>0</v>
      </c>
      <c r="J108">
        <f>VLOOKUP(U14M[[#This Row],[Card]],U14Mruns[],6,FALSE)</f>
        <v>0</v>
      </c>
      <c r="K108">
        <f>VLOOKUP(U14M[[#This Row],[Card]],U14Mcombined[],5,FALSE)</f>
        <v>0</v>
      </c>
      <c r="L108">
        <f>VLOOKUP(U14M[[#This Row],[Card]],U14MMWruns[],5,FALSE)</f>
        <v>13</v>
      </c>
    </row>
    <row r="109" spans="2:12" x14ac:dyDescent="0.25">
      <c r="B109">
        <v>82224</v>
      </c>
      <c r="C109" t="s">
        <v>190</v>
      </c>
      <c r="D109" t="s">
        <v>101</v>
      </c>
      <c r="E109">
        <v>4</v>
      </c>
      <c r="F109" s="5">
        <f>SUM(U14M[[#This Row],[Best SL]:[MW 5 of 7 Runs]])</f>
        <v>15</v>
      </c>
      <c r="G109">
        <f>VLOOKUP(U14M[[#This Row],[Card]],U14Mcombined[],6,FALSE)</f>
        <v>0</v>
      </c>
      <c r="H109">
        <f>VLOOKUP(U14M[[#This Row],[Card]],U14Mcombined[],7,FALSE)</f>
        <v>0</v>
      </c>
      <c r="I109">
        <f>VLOOKUP(U14M[[#This Row],[Card]],U14Mruns[],5,FALSE)</f>
        <v>15</v>
      </c>
      <c r="J109">
        <f>VLOOKUP(U14M[[#This Row],[Card]],U14Mruns[],6,FALSE)</f>
        <v>0</v>
      </c>
      <c r="K109">
        <f>VLOOKUP(U14M[[#This Row],[Card]],U14Mcombined[],5,FALSE)</f>
        <v>0</v>
      </c>
      <c r="L109">
        <f>VLOOKUP(U14M[[#This Row],[Card]],U14MMWruns[],5,FALSE)</f>
        <v>0</v>
      </c>
    </row>
    <row r="110" spans="2:12" x14ac:dyDescent="0.25">
      <c r="B110">
        <v>88391</v>
      </c>
      <c r="C110" s="5" t="s">
        <v>284</v>
      </c>
      <c r="D110" s="5" t="s">
        <v>155</v>
      </c>
      <c r="E110">
        <v>5</v>
      </c>
      <c r="F110" s="5">
        <f>SUM(U14M[[#This Row],[Best SL]:[MW 5 of 7 Runs]])</f>
        <v>14</v>
      </c>
      <c r="G110">
        <f>VLOOKUP(U14M[[#This Row],[Card]],U14Mcombined[],6,FALSE)</f>
        <v>0</v>
      </c>
      <c r="H110">
        <f>VLOOKUP(U14M[[#This Row],[Card]],U14Mcombined[],7,FALSE)</f>
        <v>0</v>
      </c>
      <c r="I110">
        <f>VLOOKUP(U14M[[#This Row],[Card]],U14Mruns[],5,FALSE)</f>
        <v>0</v>
      </c>
      <c r="J110">
        <f>VLOOKUP(U14M[[#This Row],[Card]],U14Mruns[],6,FALSE)</f>
        <v>0</v>
      </c>
      <c r="K110">
        <f>VLOOKUP(U14M[[#This Row],[Card]],U14Mcombined[],5,FALSE)</f>
        <v>2</v>
      </c>
      <c r="L110">
        <f>VLOOKUP(U14M[[#This Row],[Card]],U14MMWruns[],5,FALSE)</f>
        <v>12</v>
      </c>
    </row>
    <row r="111" spans="2:12" x14ac:dyDescent="0.25">
      <c r="B111" s="26">
        <v>84868</v>
      </c>
      <c r="C111" s="27" t="s">
        <v>312</v>
      </c>
      <c r="D111" s="27" t="s">
        <v>54</v>
      </c>
      <c r="E111" s="27">
        <v>5</v>
      </c>
      <c r="F111" s="5">
        <f>SUM(U14M[[#This Row],[Best SL]:[MW 5 of 7 Runs]])</f>
        <v>14</v>
      </c>
      <c r="G111">
        <f>VLOOKUP(U14M[[#This Row],[Card]],U14Mcombined[],6,FALSE)</f>
        <v>9</v>
      </c>
      <c r="H111">
        <f>VLOOKUP(U14M[[#This Row],[Card]],U14Mcombined[],7,FALSE)</f>
        <v>0</v>
      </c>
      <c r="I111">
        <f>VLOOKUP(U14M[[#This Row],[Card]],U14Mruns[],5,FALSE)</f>
        <v>5</v>
      </c>
      <c r="J111">
        <f>VLOOKUP(U14M[[#This Row],[Card]],U14Mruns[],6,FALSE)</f>
        <v>0</v>
      </c>
      <c r="K111">
        <f>VLOOKUP(U14M[[#This Row],[Card]],U14Mcombined[],5,FALSE)</f>
        <v>0</v>
      </c>
      <c r="L111">
        <f>VLOOKUP(U14M[[#This Row],[Card]],U14MMWruns[],5,FALSE)</f>
        <v>0</v>
      </c>
    </row>
    <row r="112" spans="2:12" x14ac:dyDescent="0.25">
      <c r="B112">
        <v>80835</v>
      </c>
      <c r="C112" s="5" t="s">
        <v>302</v>
      </c>
      <c r="D112" s="5" t="s">
        <v>54</v>
      </c>
      <c r="E112" s="5">
        <v>5</v>
      </c>
      <c r="F112" s="5">
        <f>SUM(U14M[[#This Row],[Best SL]:[MW 5 of 7 Runs]])</f>
        <v>13</v>
      </c>
      <c r="G112">
        <f>VLOOKUP(U14M[[#This Row],[Card]],U14Mcombined[],6,FALSE)</f>
        <v>0</v>
      </c>
      <c r="H112">
        <f>VLOOKUP(U14M[[#This Row],[Card]],U14Mcombined[],7,FALSE)</f>
        <v>0</v>
      </c>
      <c r="I112">
        <f>VLOOKUP(U14M[[#This Row],[Card]],U14Mruns[],5,FALSE)</f>
        <v>6</v>
      </c>
      <c r="J112">
        <f>VLOOKUP(U14M[[#This Row],[Card]],U14Mruns[],6,FALSE)</f>
        <v>0</v>
      </c>
      <c r="K112">
        <f>VLOOKUP(U14M[[#This Row],[Card]],U14Mcombined[],5,FALSE)</f>
        <v>0</v>
      </c>
      <c r="L112">
        <f>VLOOKUP(U14M[[#This Row],[Card]],U14MMWruns[],5,FALSE)</f>
        <v>7</v>
      </c>
    </row>
    <row r="113" spans="2:12" x14ac:dyDescent="0.25">
      <c r="B113">
        <v>88381</v>
      </c>
      <c r="C113" t="s">
        <v>181</v>
      </c>
      <c r="D113" t="s">
        <v>47</v>
      </c>
      <c r="E113">
        <v>5</v>
      </c>
      <c r="F113" s="5">
        <f>SUM(U14M[[#This Row],[Best SL]:[MW 5 of 7 Runs]])</f>
        <v>10</v>
      </c>
      <c r="G113">
        <f>VLOOKUP(U14M[[#This Row],[Card]],U14Mcombined[],6,FALSE)</f>
        <v>4</v>
      </c>
      <c r="H113">
        <f>VLOOKUP(U14M[[#This Row],[Card]],U14Mcombined[],7,FALSE)</f>
        <v>0</v>
      </c>
      <c r="I113">
        <f>VLOOKUP(U14M[[#This Row],[Card]],U14Mruns[],5,FALSE)</f>
        <v>6</v>
      </c>
      <c r="J113">
        <f>VLOOKUP(U14M[[#This Row],[Card]],U14Mruns[],6,FALSE)</f>
        <v>0</v>
      </c>
      <c r="K113">
        <f>VLOOKUP(U14M[[#This Row],[Card]],U14Mcombined[],5,FALSE)</f>
        <v>0</v>
      </c>
      <c r="L113">
        <f>VLOOKUP(U14M[[#This Row],[Card]],U14MMWruns[],5,FALSE)</f>
        <v>0</v>
      </c>
    </row>
    <row r="114" spans="2:12" x14ac:dyDescent="0.25">
      <c r="B114">
        <v>78414</v>
      </c>
      <c r="C114" t="s">
        <v>202</v>
      </c>
      <c r="D114" t="s">
        <v>155</v>
      </c>
      <c r="E114">
        <v>4</v>
      </c>
      <c r="F114" s="5">
        <f>SUM(U14M[[#This Row],[Best SL]:[MW 5 of 7 Runs]])</f>
        <v>7</v>
      </c>
      <c r="G114">
        <f>VLOOKUP(U14M[[#This Row],[Card]],U14Mcombined[],6,FALSE)</f>
        <v>1</v>
      </c>
      <c r="H114">
        <f>VLOOKUP(U14M[[#This Row],[Card]],U14Mcombined[],7,FALSE)</f>
        <v>0</v>
      </c>
      <c r="I114">
        <f>VLOOKUP(U14M[[#This Row],[Card]],U14Mruns[],5,FALSE)</f>
        <v>3</v>
      </c>
      <c r="J114">
        <f>VLOOKUP(U14M[[#This Row],[Card]],U14Mruns[],6,FALSE)</f>
        <v>0</v>
      </c>
      <c r="K114">
        <f>VLOOKUP(U14M[[#This Row],[Card]],U14Mcombined[],5,FALSE)</f>
        <v>0</v>
      </c>
      <c r="L114">
        <f>VLOOKUP(U14M[[#This Row],[Card]],U14MMWruns[],5,FALSE)</f>
        <v>3</v>
      </c>
    </row>
    <row r="115" spans="2:12" x14ac:dyDescent="0.25">
      <c r="B115">
        <v>80807</v>
      </c>
      <c r="C115" s="5" t="s">
        <v>298</v>
      </c>
      <c r="D115" s="5" t="s">
        <v>54</v>
      </c>
      <c r="E115" s="5">
        <v>5</v>
      </c>
      <c r="F115" s="5">
        <f>SUM(U14M[[#This Row],[Best SL]:[MW 5 of 7 Runs]])</f>
        <v>5</v>
      </c>
      <c r="G115">
        <f>VLOOKUP(U14M[[#This Row],[Card]],U14Mcombined[],6,FALSE)</f>
        <v>5</v>
      </c>
      <c r="H115">
        <f>VLOOKUP(U14M[[#This Row],[Card]],U14Mcombined[],7,FALSE)</f>
        <v>0</v>
      </c>
      <c r="I115">
        <f>VLOOKUP(U14M[[#This Row],[Card]],U14Mruns[],5,FALSE)</f>
        <v>0</v>
      </c>
      <c r="J115">
        <f>VLOOKUP(U14M[[#This Row],[Card]],U14Mruns[],6,FALSE)</f>
        <v>0</v>
      </c>
      <c r="K115">
        <f>VLOOKUP(U14M[[#This Row],[Card]],U14Mcombined[],5,FALSE)</f>
        <v>0</v>
      </c>
      <c r="L115">
        <f>VLOOKUP(U14M[[#This Row],[Card]],U14MMWruns[],5,FALSE)</f>
        <v>0</v>
      </c>
    </row>
    <row r="116" spans="2:12" x14ac:dyDescent="0.25">
      <c r="B116" s="26">
        <v>78783</v>
      </c>
      <c r="C116" s="26" t="s">
        <v>198</v>
      </c>
      <c r="D116" s="26" t="s">
        <v>47</v>
      </c>
      <c r="E116" s="26">
        <v>5</v>
      </c>
      <c r="F116" s="5">
        <f>SUM(U14M[[#This Row],[Best SL]:[MW 5 of 7 Runs]])</f>
        <v>5</v>
      </c>
      <c r="G116">
        <f>VLOOKUP(U14M[[#This Row],[Card]],U14Mcombined[],6,FALSE)</f>
        <v>4</v>
      </c>
      <c r="H116">
        <f>VLOOKUP(U14M[[#This Row],[Card]],U14Mcombined[],7,FALSE)</f>
        <v>1</v>
      </c>
      <c r="I116">
        <f>VLOOKUP(U14M[[#This Row],[Card]],U14Mruns[],5,FALSE)</f>
        <v>0</v>
      </c>
      <c r="J116">
        <f>VLOOKUP(U14M[[#This Row],[Card]],U14Mruns[],6,FALSE)</f>
        <v>0</v>
      </c>
      <c r="K116">
        <f>VLOOKUP(U14M[[#This Row],[Card]],U14Mcombined[],5,FALSE)</f>
        <v>0</v>
      </c>
      <c r="L116">
        <f>VLOOKUP(U14M[[#This Row],[Card]],U14MMWruns[],5,FALSE)</f>
        <v>0</v>
      </c>
    </row>
    <row r="117" spans="2:12" x14ac:dyDescent="0.25">
      <c r="B117">
        <v>81081</v>
      </c>
      <c r="C117" t="s">
        <v>330</v>
      </c>
      <c r="D117" t="s">
        <v>31</v>
      </c>
      <c r="E117" s="5">
        <v>5</v>
      </c>
      <c r="F117" s="5">
        <f>SUM(U14M[[#This Row],[Best SL]:[MW 5 of 7 Runs]])</f>
        <v>4</v>
      </c>
      <c r="G117">
        <f>VLOOKUP(U14M[[#This Row],[Card]],U14Mcombined[],6,FALSE)</f>
        <v>2</v>
      </c>
      <c r="H117">
        <f>VLOOKUP(U14M[[#This Row],[Card]],U14Mcombined[],7,FALSE)</f>
        <v>0</v>
      </c>
      <c r="I117">
        <f>VLOOKUP(U14M[[#This Row],[Card]],U14Mruns[],5,FALSE)</f>
        <v>0</v>
      </c>
      <c r="J117">
        <f>VLOOKUP(U14M[[#This Row],[Card]],U14Mruns[],6,FALSE)</f>
        <v>0</v>
      </c>
      <c r="K117">
        <f>VLOOKUP(U14M[[#This Row],[Card]],U14Mcombined[],5,FALSE)</f>
        <v>0</v>
      </c>
      <c r="L117">
        <f>VLOOKUP(U14M[[#This Row],[Card]],U14MMWruns[],5,FALSE)</f>
        <v>2</v>
      </c>
    </row>
    <row r="118" spans="2:12" x14ac:dyDescent="0.25">
      <c r="B118">
        <v>81781</v>
      </c>
      <c r="C118" t="s">
        <v>200</v>
      </c>
      <c r="D118" t="s">
        <v>38</v>
      </c>
      <c r="E118">
        <v>5</v>
      </c>
      <c r="F118" s="5">
        <f>SUM(U14M[[#This Row],[Best SL]:[MW 5 of 7 Runs]])</f>
        <v>3</v>
      </c>
      <c r="G118">
        <f>VLOOKUP(U14M[[#This Row],[Card]],U14Mcombined[],6,FALSE)</f>
        <v>2</v>
      </c>
      <c r="H118">
        <f>VLOOKUP(U14M[[#This Row],[Card]],U14Mcombined[],7,FALSE)</f>
        <v>0</v>
      </c>
      <c r="I118">
        <f>VLOOKUP(U14M[[#This Row],[Card]],U14Mruns[],5,FALSE)</f>
        <v>0</v>
      </c>
      <c r="J118">
        <f>VLOOKUP(U14M[[#This Row],[Card]],U14Mruns[],6,FALSE)</f>
        <v>0</v>
      </c>
      <c r="K118">
        <f>VLOOKUP(U14M[[#This Row],[Card]],U14Mcombined[],5,FALSE)</f>
        <v>0</v>
      </c>
      <c r="L118">
        <f>VLOOKUP(U14M[[#This Row],[Card]],U14MMWruns[],5,FALSE)</f>
        <v>1</v>
      </c>
    </row>
    <row r="119" spans="2:12" x14ac:dyDescent="0.25">
      <c r="B119" s="26">
        <v>78726</v>
      </c>
      <c r="C119" s="27" t="s">
        <v>322</v>
      </c>
      <c r="D119" s="27" t="s">
        <v>309</v>
      </c>
      <c r="E119" s="27">
        <v>4</v>
      </c>
      <c r="F119" s="5">
        <f>SUM(U14M[[#This Row],[Best SL]:[MW 5 of 7 Runs]])</f>
        <v>3</v>
      </c>
      <c r="G119">
        <f>VLOOKUP(U14M[[#This Row],[Card]],U14Mcombined[],6,FALSE)</f>
        <v>0</v>
      </c>
      <c r="H119">
        <f>VLOOKUP(U14M[[#This Row],[Card]],U14Mcombined[],7,FALSE)</f>
        <v>0</v>
      </c>
      <c r="I119">
        <f>VLOOKUP(U14M[[#This Row],[Card]],U14Mruns[],5,FALSE)</f>
        <v>0</v>
      </c>
      <c r="J119">
        <f>VLOOKUP(U14M[[#This Row],[Card]],U14Mruns[],6,FALSE)</f>
        <v>0</v>
      </c>
      <c r="K119">
        <f>VLOOKUP(U14M[[#This Row],[Card]],U14Mcombined[],5,FALSE)</f>
        <v>0</v>
      </c>
      <c r="L119">
        <f>VLOOKUP(U14M[[#This Row],[Card]],U14MMWruns[],5,FALSE)</f>
        <v>3</v>
      </c>
    </row>
    <row r="120" spans="2:12" x14ac:dyDescent="0.25">
      <c r="B120" s="23">
        <v>86128</v>
      </c>
      <c r="C120" s="23" t="s">
        <v>461</v>
      </c>
      <c r="D120" s="23" t="s">
        <v>61</v>
      </c>
      <c r="E120" s="25">
        <v>5</v>
      </c>
      <c r="F120" s="5">
        <f>SUM(U14M[[#This Row],[Best SL]:[MW 5 of 7 Runs]])</f>
        <v>3</v>
      </c>
      <c r="G120">
        <f>VLOOKUP(U14M[[#This Row],[Card]],U14Mcombined[],6,FALSE)</f>
        <v>3</v>
      </c>
      <c r="H120">
        <f>VLOOKUP(U14M[[#This Row],[Card]],U14Mcombined[],7,FALSE)</f>
        <v>0</v>
      </c>
      <c r="I120">
        <f>VLOOKUP(U14M[[#This Row],[Card]],U14Mruns[],5,FALSE)</f>
        <v>0</v>
      </c>
      <c r="J120">
        <f>VLOOKUP(U14M[[#This Row],[Card]],U14Mruns[],6,FALSE)</f>
        <v>0</v>
      </c>
      <c r="K120">
        <f>VLOOKUP(U14M[[#This Row],[Card]],U14Mcombined[],5,FALSE)</f>
        <v>0</v>
      </c>
      <c r="L120">
        <f>VLOOKUP(U14M[[#This Row],[Card]],U14MMWruns[],5,FALSE)</f>
        <v>0</v>
      </c>
    </row>
    <row r="121" spans="2:12" x14ac:dyDescent="0.25">
      <c r="B121" s="26">
        <v>85950</v>
      </c>
      <c r="C121" s="26" t="s">
        <v>206</v>
      </c>
      <c r="D121" s="26" t="s">
        <v>31</v>
      </c>
      <c r="E121" s="26">
        <v>4</v>
      </c>
      <c r="F121" s="5">
        <f>SUM(U14M[[#This Row],[Best SL]:[MW 5 of 7 Runs]])</f>
        <v>1</v>
      </c>
      <c r="G121">
        <f>VLOOKUP(U14M[[#This Row],[Card]],U14Mcombined[],6,FALSE)</f>
        <v>1</v>
      </c>
      <c r="H121">
        <f>VLOOKUP(U14M[[#This Row],[Card]],U14Mcombined[],7,FALSE)</f>
        <v>0</v>
      </c>
      <c r="I121">
        <f>VLOOKUP(U14M[[#This Row],[Card]],U14Mruns[],5,FALSE)</f>
        <v>0</v>
      </c>
      <c r="J121">
        <f>VLOOKUP(U14M[[#This Row],[Card]],U14Mruns[],6,FALSE)</f>
        <v>0</v>
      </c>
      <c r="K121">
        <f>VLOOKUP(U14M[[#This Row],[Card]],U14Mcombined[],5,FALSE)</f>
        <v>0</v>
      </c>
      <c r="L121">
        <f>VLOOKUP(U14M[[#This Row],[Card]],U14MMWruns[],5,FALSE)</f>
        <v>0</v>
      </c>
    </row>
    <row r="122" spans="2:12" x14ac:dyDescent="0.25">
      <c r="B122">
        <v>80701</v>
      </c>
      <c r="C122" t="s">
        <v>216</v>
      </c>
      <c r="D122" t="s">
        <v>31</v>
      </c>
      <c r="E122">
        <v>5</v>
      </c>
      <c r="F122" s="5">
        <f>SUM(U14M[[#This Row],[Best SL]:[MW 5 of 7 Runs]])</f>
        <v>0</v>
      </c>
      <c r="G122">
        <f>VLOOKUP(U14M[[#This Row],[Card]],U14Mcombined[],6,FALSE)</f>
        <v>0</v>
      </c>
      <c r="H122">
        <f>VLOOKUP(U14M[[#This Row],[Card]],U14Mcombined[],7,FALSE)</f>
        <v>0</v>
      </c>
      <c r="I122">
        <f>VLOOKUP(U14M[[#This Row],[Card]],U14Mruns[],5,FALSE)</f>
        <v>0</v>
      </c>
      <c r="J122">
        <f>VLOOKUP(U14M[[#This Row],[Card]],U14Mruns[],6,FALSE)</f>
        <v>0</v>
      </c>
      <c r="K122">
        <f>VLOOKUP(U14M[[#This Row],[Card]],U14Mcombined[],5,FALSE)</f>
        <v>0</v>
      </c>
      <c r="L122">
        <f>VLOOKUP(U14M[[#This Row],[Card]],U14MMWruns[],5,FALSE)</f>
        <v>0</v>
      </c>
    </row>
    <row r="123" spans="2:12" x14ac:dyDescent="0.25">
      <c r="B123">
        <v>82405</v>
      </c>
      <c r="C123" t="s">
        <v>223</v>
      </c>
      <c r="D123" t="s">
        <v>101</v>
      </c>
      <c r="E123">
        <v>4</v>
      </c>
      <c r="F123" s="5">
        <f>SUM(U14M[[#This Row],[Best SL]:[MW 5 of 7 Runs]])</f>
        <v>0</v>
      </c>
      <c r="G123">
        <f>VLOOKUP(U14M[[#This Row],[Card]],U14Mcombined[],6,FALSE)</f>
        <v>0</v>
      </c>
      <c r="H123">
        <f>VLOOKUP(U14M[[#This Row],[Card]],U14Mcombined[],7,FALSE)</f>
        <v>0</v>
      </c>
      <c r="I123">
        <f>VLOOKUP(U14M[[#This Row],[Card]],U14Mruns[],5,FALSE)</f>
        <v>0</v>
      </c>
      <c r="J123">
        <f>VLOOKUP(U14M[[#This Row],[Card]],U14Mruns[],6,FALSE)</f>
        <v>0</v>
      </c>
      <c r="K123">
        <f>VLOOKUP(U14M[[#This Row],[Card]],U14Mcombined[],5,FALSE)</f>
        <v>0</v>
      </c>
      <c r="L123">
        <f>VLOOKUP(U14M[[#This Row],[Card]],U14MMWruns[],5,FALSE)</f>
        <v>0</v>
      </c>
    </row>
    <row r="124" spans="2:12" x14ac:dyDescent="0.25">
      <c r="B124">
        <v>87853</v>
      </c>
      <c r="C124" t="s">
        <v>463</v>
      </c>
      <c r="D124" t="s">
        <v>117</v>
      </c>
      <c r="E124" s="5">
        <v>5</v>
      </c>
      <c r="F124" s="5">
        <f>SUM(U14M[[#This Row],[Best SL]:[MW 5 of 7 Runs]])</f>
        <v>0</v>
      </c>
      <c r="G124">
        <f>VLOOKUP(U14M[[#This Row],[Card]],U14Mcombined[],6,FALSE)</f>
        <v>0</v>
      </c>
      <c r="H124">
        <f>VLOOKUP(U14M[[#This Row],[Card]],U14Mcombined[],7,FALSE)</f>
        <v>0</v>
      </c>
      <c r="I124">
        <f>VLOOKUP(U14M[[#This Row],[Card]],U14Mruns[],5,FALSE)</f>
        <v>0</v>
      </c>
      <c r="J124">
        <f>VLOOKUP(U14M[[#This Row],[Card]],U14Mruns[],6,FALSE)</f>
        <v>0</v>
      </c>
      <c r="K124">
        <f>VLOOKUP(U14M[[#This Row],[Card]],U14Mcombined[],5,FALSE)</f>
        <v>0</v>
      </c>
      <c r="L124">
        <f>VLOOKUP(U14M[[#This Row],[Card]],U14MMWruns[],5,FALSE)</f>
        <v>0</v>
      </c>
    </row>
  </sheetData>
  <mergeCells count="1">
    <mergeCell ref="G2:J2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workbookViewId="0">
      <selection activeCell="R9" sqref="R9"/>
    </sheetView>
  </sheetViews>
  <sheetFormatPr defaultRowHeight="15" x14ac:dyDescent="0.25"/>
  <cols>
    <col min="1" max="1" width="7.42578125" bestFit="1" customWidth="1"/>
    <col min="2" max="2" width="7.140625" bestFit="1" customWidth="1"/>
    <col min="3" max="3" width="5.85546875" bestFit="1" customWidth="1"/>
    <col min="4" max="4" width="24.5703125" bestFit="1" customWidth="1"/>
    <col min="5" max="5" width="7" bestFit="1" customWidth="1"/>
    <col min="6" max="6" width="6.7109375" bestFit="1" customWidth="1"/>
    <col min="7" max="7" width="10.7109375" bestFit="1" customWidth="1"/>
    <col min="8" max="8" width="9.42578125" bestFit="1" customWidth="1"/>
    <col min="9" max="9" width="9.7109375" bestFit="1" customWidth="1"/>
    <col min="10" max="10" width="12" bestFit="1" customWidth="1"/>
    <col min="11" max="11" width="8.42578125" bestFit="1" customWidth="1"/>
  </cols>
  <sheetData>
    <row r="1" spans="1:16" ht="14.45" x14ac:dyDescent="0.3">
      <c r="A1" s="10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N1" t="s">
        <v>3</v>
      </c>
      <c r="O1" t="s">
        <v>226</v>
      </c>
      <c r="P1" t="s">
        <v>8</v>
      </c>
    </row>
    <row r="2" spans="1:16" ht="14.45" x14ac:dyDescent="0.3">
      <c r="A2" s="13">
        <v>1</v>
      </c>
      <c r="B2" s="14">
        <v>78517</v>
      </c>
      <c r="C2" s="14">
        <v>5</v>
      </c>
      <c r="D2" s="15" t="s">
        <v>14</v>
      </c>
      <c r="E2" s="15" t="s">
        <v>15</v>
      </c>
      <c r="F2" s="14">
        <v>4</v>
      </c>
      <c r="G2" s="15" t="s">
        <v>16</v>
      </c>
      <c r="H2" s="15" t="s">
        <v>17</v>
      </c>
      <c r="I2" s="15"/>
      <c r="J2" s="15" t="s">
        <v>17</v>
      </c>
      <c r="K2" s="16">
        <v>0</v>
      </c>
      <c r="N2">
        <f t="shared" ref="N2:N33" si="0">B2</f>
        <v>78517</v>
      </c>
      <c r="O2">
        <f>IF(AND(A2&gt;0,A2&lt;999),IFERROR(VLOOKUP(results0122[[#This Row],[Card]],U14M[],1,FALSE),0),0)</f>
        <v>78517</v>
      </c>
      <c r="P2">
        <f t="shared" ref="P2:P33" si="1">A2</f>
        <v>1</v>
      </c>
    </row>
    <row r="3" spans="1:16" ht="14.45" x14ac:dyDescent="0.3">
      <c r="A3" s="17">
        <v>2</v>
      </c>
      <c r="B3" s="18">
        <v>80621</v>
      </c>
      <c r="C3" s="18">
        <v>8</v>
      </c>
      <c r="D3" s="19" t="s">
        <v>18</v>
      </c>
      <c r="E3" s="19" t="s">
        <v>19</v>
      </c>
      <c r="F3" s="18">
        <v>4</v>
      </c>
      <c r="G3" s="19" t="s">
        <v>16</v>
      </c>
      <c r="H3" s="19" t="s">
        <v>20</v>
      </c>
      <c r="I3" s="19"/>
      <c r="J3" s="19" t="s">
        <v>20</v>
      </c>
      <c r="K3" s="20">
        <v>2.41</v>
      </c>
      <c r="N3">
        <f t="shared" si="0"/>
        <v>80621</v>
      </c>
      <c r="O3">
        <f>IF(AND(A3&gt;0,A3&lt;999),IFERROR(VLOOKUP(results0122[[#This Row],[Card]],U14M[],1,FALSE),0),0)</f>
        <v>80621</v>
      </c>
      <c r="P3">
        <f t="shared" si="1"/>
        <v>2</v>
      </c>
    </row>
    <row r="4" spans="1:16" ht="14.45" x14ac:dyDescent="0.3">
      <c r="A4" s="13">
        <v>3</v>
      </c>
      <c r="B4" s="14">
        <v>80713</v>
      </c>
      <c r="C4" s="14">
        <v>15</v>
      </c>
      <c r="D4" s="15" t="s">
        <v>21</v>
      </c>
      <c r="E4" s="15" t="s">
        <v>22</v>
      </c>
      <c r="F4" s="14">
        <v>4</v>
      </c>
      <c r="G4" s="15" t="s">
        <v>16</v>
      </c>
      <c r="H4" s="15" t="s">
        <v>23</v>
      </c>
      <c r="I4" s="15"/>
      <c r="J4" s="15" t="s">
        <v>23</v>
      </c>
      <c r="K4" s="16">
        <v>2.85</v>
      </c>
      <c r="N4">
        <f t="shared" si="0"/>
        <v>80713</v>
      </c>
      <c r="O4">
        <f>IF(AND(A4&gt;0,A4&lt;999),IFERROR(VLOOKUP(results0122[[#This Row],[Card]],U14M[],1,FALSE),0),0)</f>
        <v>80713</v>
      </c>
      <c r="P4">
        <f t="shared" si="1"/>
        <v>3</v>
      </c>
    </row>
    <row r="5" spans="1:16" ht="14.45" x14ac:dyDescent="0.3">
      <c r="A5" s="17">
        <v>4</v>
      </c>
      <c r="B5" s="18">
        <v>80709</v>
      </c>
      <c r="C5" s="18">
        <v>3</v>
      </c>
      <c r="D5" s="19" t="s">
        <v>24</v>
      </c>
      <c r="E5" s="19" t="s">
        <v>22</v>
      </c>
      <c r="F5" s="18">
        <v>5</v>
      </c>
      <c r="G5" s="19" t="s">
        <v>16</v>
      </c>
      <c r="H5" s="19" t="s">
        <v>25</v>
      </c>
      <c r="I5" s="19"/>
      <c r="J5" s="19" t="s">
        <v>25</v>
      </c>
      <c r="K5" s="20">
        <v>3.07</v>
      </c>
      <c r="N5">
        <f t="shared" si="0"/>
        <v>80709</v>
      </c>
      <c r="O5">
        <f>IF(AND(A5&gt;0,A5&lt;999),IFERROR(VLOOKUP(results0122[[#This Row],[Card]],U14M[],1,FALSE),0),0)</f>
        <v>80709</v>
      </c>
      <c r="P5">
        <f t="shared" si="1"/>
        <v>4</v>
      </c>
    </row>
    <row r="6" spans="1:16" ht="14.45" x14ac:dyDescent="0.3">
      <c r="A6" s="13">
        <v>5</v>
      </c>
      <c r="B6" s="14">
        <v>80717</v>
      </c>
      <c r="C6" s="14">
        <v>14</v>
      </c>
      <c r="D6" s="15" t="s">
        <v>26</v>
      </c>
      <c r="E6" s="15" t="s">
        <v>22</v>
      </c>
      <c r="F6" s="14">
        <v>4</v>
      </c>
      <c r="G6" s="15" t="s">
        <v>16</v>
      </c>
      <c r="H6" s="15" t="s">
        <v>27</v>
      </c>
      <c r="I6" s="15"/>
      <c r="J6" s="15" t="s">
        <v>27</v>
      </c>
      <c r="K6" s="16">
        <v>6.8</v>
      </c>
      <c r="N6">
        <f t="shared" si="0"/>
        <v>80717</v>
      </c>
      <c r="O6">
        <f>IF(AND(A6&gt;0,A6&lt;999),IFERROR(VLOOKUP(results0122[[#This Row],[Card]],U14M[],1,FALSE),0),0)</f>
        <v>80717</v>
      </c>
      <c r="P6">
        <f t="shared" si="1"/>
        <v>5</v>
      </c>
    </row>
    <row r="7" spans="1:16" ht="14.45" x14ac:dyDescent="0.3">
      <c r="A7" s="17">
        <v>6</v>
      </c>
      <c r="B7" s="18">
        <v>80680</v>
      </c>
      <c r="C7" s="18">
        <v>11</v>
      </c>
      <c r="D7" s="19" t="s">
        <v>28</v>
      </c>
      <c r="E7" s="19" t="s">
        <v>15</v>
      </c>
      <c r="F7" s="18">
        <v>4</v>
      </c>
      <c r="G7" s="19" t="s">
        <v>16</v>
      </c>
      <c r="H7" s="19" t="s">
        <v>29</v>
      </c>
      <c r="I7" s="19"/>
      <c r="J7" s="19" t="s">
        <v>29</v>
      </c>
      <c r="K7" s="20">
        <v>17.989999999999998</v>
      </c>
      <c r="N7">
        <f t="shared" si="0"/>
        <v>80680</v>
      </c>
      <c r="O7">
        <f>IF(AND(A7&gt;0,A7&lt;999),IFERROR(VLOOKUP(results0122[[#This Row],[Card]],U14M[],1,FALSE),0),0)</f>
        <v>80680</v>
      </c>
      <c r="P7">
        <f t="shared" si="1"/>
        <v>6</v>
      </c>
    </row>
    <row r="8" spans="1:16" ht="14.45" x14ac:dyDescent="0.3">
      <c r="A8" s="13">
        <v>7</v>
      </c>
      <c r="B8" s="14">
        <v>80698</v>
      </c>
      <c r="C8" s="14">
        <v>62</v>
      </c>
      <c r="D8" s="15" t="s">
        <v>30</v>
      </c>
      <c r="E8" s="15" t="s">
        <v>31</v>
      </c>
      <c r="F8" s="14">
        <v>4</v>
      </c>
      <c r="G8" s="15" t="s">
        <v>16</v>
      </c>
      <c r="H8" s="15" t="s">
        <v>32</v>
      </c>
      <c r="I8" s="15"/>
      <c r="J8" s="15" t="s">
        <v>32</v>
      </c>
      <c r="K8" s="16">
        <v>19.309999999999999</v>
      </c>
      <c r="N8">
        <f t="shared" si="0"/>
        <v>80698</v>
      </c>
      <c r="O8">
        <f>IF(AND(A8&gt;0,A8&lt;999),IFERROR(VLOOKUP(results0122[[#This Row],[Card]],U14M[],1,FALSE),0),0)</f>
        <v>80698</v>
      </c>
      <c r="P8">
        <f t="shared" si="1"/>
        <v>7</v>
      </c>
    </row>
    <row r="9" spans="1:16" ht="14.45" x14ac:dyDescent="0.3">
      <c r="A9" s="17">
        <v>8</v>
      </c>
      <c r="B9" s="18">
        <v>80722</v>
      </c>
      <c r="C9" s="18">
        <v>73</v>
      </c>
      <c r="D9" s="19" t="s">
        <v>33</v>
      </c>
      <c r="E9" s="19" t="s">
        <v>22</v>
      </c>
      <c r="F9" s="18">
        <v>4</v>
      </c>
      <c r="G9" s="19" t="s">
        <v>16</v>
      </c>
      <c r="H9" s="19" t="s">
        <v>34</v>
      </c>
      <c r="I9" s="19"/>
      <c r="J9" s="19" t="s">
        <v>34</v>
      </c>
      <c r="K9" s="20">
        <v>19.739999999999998</v>
      </c>
      <c r="N9">
        <f t="shared" si="0"/>
        <v>80722</v>
      </c>
      <c r="O9">
        <f>IF(AND(A9&gt;0,A9&lt;999),IFERROR(VLOOKUP(results0122[[#This Row],[Card]],U14M[],1,FALSE),0),0)</f>
        <v>80722</v>
      </c>
      <c r="P9">
        <f t="shared" si="1"/>
        <v>8</v>
      </c>
    </row>
    <row r="10" spans="1:16" ht="14.45" x14ac:dyDescent="0.3">
      <c r="A10" s="13">
        <v>9</v>
      </c>
      <c r="B10" s="14">
        <v>77368</v>
      </c>
      <c r="C10" s="14">
        <v>10</v>
      </c>
      <c r="D10" s="15" t="s">
        <v>35</v>
      </c>
      <c r="E10" s="15" t="s">
        <v>15</v>
      </c>
      <c r="F10" s="14">
        <v>4</v>
      </c>
      <c r="G10" s="15" t="s">
        <v>16</v>
      </c>
      <c r="H10" s="15" t="s">
        <v>36</v>
      </c>
      <c r="I10" s="15"/>
      <c r="J10" s="15" t="s">
        <v>36</v>
      </c>
      <c r="K10" s="16">
        <v>20.18</v>
      </c>
      <c r="N10">
        <f t="shared" si="0"/>
        <v>77368</v>
      </c>
      <c r="O10">
        <f>IF(AND(A10&gt;0,A10&lt;999),IFERROR(VLOOKUP(results0122[[#This Row],[Card]],U14M[],1,FALSE),0),0)</f>
        <v>77368</v>
      </c>
      <c r="P10">
        <f t="shared" si="1"/>
        <v>9</v>
      </c>
    </row>
    <row r="11" spans="1:16" ht="14.45" x14ac:dyDescent="0.3">
      <c r="A11" s="17">
        <v>10</v>
      </c>
      <c r="B11" s="18">
        <v>76653</v>
      </c>
      <c r="C11" s="18">
        <v>6</v>
      </c>
      <c r="D11" s="19" t="s">
        <v>37</v>
      </c>
      <c r="E11" s="19" t="s">
        <v>38</v>
      </c>
      <c r="F11" s="18">
        <v>4</v>
      </c>
      <c r="G11" s="19" t="s">
        <v>16</v>
      </c>
      <c r="H11" s="19" t="s">
        <v>39</v>
      </c>
      <c r="I11" s="19"/>
      <c r="J11" s="19" t="s">
        <v>39</v>
      </c>
      <c r="K11" s="20">
        <v>21.28</v>
      </c>
      <c r="N11">
        <f t="shared" si="0"/>
        <v>76653</v>
      </c>
      <c r="O11">
        <f>IF(AND(A11&gt;0,A11&lt;999),IFERROR(VLOOKUP(results0122[[#This Row],[Card]],U14M[],1,FALSE),0),0)</f>
        <v>76653</v>
      </c>
      <c r="P11">
        <f t="shared" si="1"/>
        <v>10</v>
      </c>
    </row>
    <row r="12" spans="1:16" ht="14.45" x14ac:dyDescent="0.3">
      <c r="A12" s="13">
        <v>10</v>
      </c>
      <c r="B12" s="14">
        <v>81073</v>
      </c>
      <c r="C12" s="14">
        <v>1</v>
      </c>
      <c r="D12" s="15" t="s">
        <v>40</v>
      </c>
      <c r="E12" s="15" t="s">
        <v>15</v>
      </c>
      <c r="F12" s="14">
        <v>4</v>
      </c>
      <c r="G12" s="15" t="s">
        <v>16</v>
      </c>
      <c r="H12" s="15" t="s">
        <v>39</v>
      </c>
      <c r="I12" s="15"/>
      <c r="J12" s="15" t="s">
        <v>39</v>
      </c>
      <c r="K12" s="16">
        <v>21.28</v>
      </c>
      <c r="N12">
        <f t="shared" si="0"/>
        <v>81073</v>
      </c>
      <c r="O12">
        <f>IF(AND(A12&gt;0,A12&lt;999),IFERROR(VLOOKUP(results0122[[#This Row],[Card]],U14M[],1,FALSE),0),0)</f>
        <v>81073</v>
      </c>
      <c r="P12">
        <f t="shared" si="1"/>
        <v>10</v>
      </c>
    </row>
    <row r="13" spans="1:16" ht="14.45" x14ac:dyDescent="0.3">
      <c r="A13" s="17">
        <v>12</v>
      </c>
      <c r="B13" s="18">
        <v>82431</v>
      </c>
      <c r="C13" s="18">
        <v>2</v>
      </c>
      <c r="D13" s="19" t="s">
        <v>41</v>
      </c>
      <c r="E13" s="19" t="s">
        <v>42</v>
      </c>
      <c r="F13" s="18">
        <v>4</v>
      </c>
      <c r="G13" s="19" t="s">
        <v>16</v>
      </c>
      <c r="H13" s="19" t="s">
        <v>43</v>
      </c>
      <c r="I13" s="19"/>
      <c r="J13" s="19" t="s">
        <v>43</v>
      </c>
      <c r="K13" s="20">
        <v>22.16</v>
      </c>
      <c r="N13">
        <f t="shared" si="0"/>
        <v>82431</v>
      </c>
      <c r="O13">
        <f>IF(AND(A13&gt;0,A13&lt;999),IFERROR(VLOOKUP(results0122[[#This Row],[Card]],U14M[],1,FALSE),0),0)</f>
        <v>82431</v>
      </c>
      <c r="P13">
        <f t="shared" si="1"/>
        <v>12</v>
      </c>
    </row>
    <row r="14" spans="1:16" ht="14.45" x14ac:dyDescent="0.3">
      <c r="A14" s="13">
        <v>13</v>
      </c>
      <c r="B14" s="14">
        <v>81108</v>
      </c>
      <c r="C14" s="14">
        <v>21</v>
      </c>
      <c r="D14" s="15" t="s">
        <v>44</v>
      </c>
      <c r="E14" s="15" t="s">
        <v>22</v>
      </c>
      <c r="F14" s="14">
        <v>5</v>
      </c>
      <c r="G14" s="15" t="s">
        <v>16</v>
      </c>
      <c r="H14" s="15" t="s">
        <v>45</v>
      </c>
      <c r="I14" s="15"/>
      <c r="J14" s="15" t="s">
        <v>45</v>
      </c>
      <c r="K14" s="16">
        <v>22.38</v>
      </c>
      <c r="N14">
        <f t="shared" si="0"/>
        <v>81108</v>
      </c>
      <c r="O14">
        <f>IF(AND(A14&gt;0,A14&lt;999),IFERROR(VLOOKUP(results0122[[#This Row],[Card]],U14M[],1,FALSE),0),0)</f>
        <v>81108</v>
      </c>
      <c r="P14">
        <f t="shared" si="1"/>
        <v>13</v>
      </c>
    </row>
    <row r="15" spans="1:16" ht="14.45" x14ac:dyDescent="0.3">
      <c r="A15" s="17">
        <v>14</v>
      </c>
      <c r="B15" s="18">
        <v>85235</v>
      </c>
      <c r="C15" s="18">
        <v>66</v>
      </c>
      <c r="D15" s="19" t="s">
        <v>46</v>
      </c>
      <c r="E15" s="19" t="s">
        <v>47</v>
      </c>
      <c r="F15" s="18">
        <v>4</v>
      </c>
      <c r="G15" s="19" t="s">
        <v>16</v>
      </c>
      <c r="H15" s="19" t="s">
        <v>48</v>
      </c>
      <c r="I15" s="19"/>
      <c r="J15" s="19" t="s">
        <v>48</v>
      </c>
      <c r="K15" s="20">
        <v>24.79</v>
      </c>
      <c r="N15">
        <f t="shared" si="0"/>
        <v>85235</v>
      </c>
      <c r="O15">
        <f>IF(AND(A15&gt;0,A15&lt;999),IFERROR(VLOOKUP(results0122[[#This Row],[Card]],U14M[],1,FALSE),0),0)</f>
        <v>85235</v>
      </c>
      <c r="P15">
        <f t="shared" si="1"/>
        <v>14</v>
      </c>
    </row>
    <row r="16" spans="1:16" ht="14.45" x14ac:dyDescent="0.3">
      <c r="A16" s="13">
        <v>15</v>
      </c>
      <c r="B16" s="14">
        <v>78200</v>
      </c>
      <c r="C16" s="14">
        <v>106</v>
      </c>
      <c r="D16" s="15" t="s">
        <v>49</v>
      </c>
      <c r="E16" s="15" t="s">
        <v>31</v>
      </c>
      <c r="F16" s="14">
        <v>5</v>
      </c>
      <c r="G16" s="15" t="s">
        <v>16</v>
      </c>
      <c r="H16" s="15" t="s">
        <v>50</v>
      </c>
      <c r="I16" s="15"/>
      <c r="J16" s="15" t="s">
        <v>50</v>
      </c>
      <c r="K16" s="16">
        <v>30.49</v>
      </c>
      <c r="N16">
        <f t="shared" si="0"/>
        <v>78200</v>
      </c>
      <c r="O16">
        <f>IF(AND(A16&gt;0,A16&lt;999),IFERROR(VLOOKUP(results0122[[#This Row],[Card]],U14M[],1,FALSE),0),0)</f>
        <v>78200</v>
      </c>
      <c r="P16">
        <f t="shared" si="1"/>
        <v>15</v>
      </c>
    </row>
    <row r="17" spans="1:16" ht="14.45" x14ac:dyDescent="0.3">
      <c r="A17" s="17">
        <v>16</v>
      </c>
      <c r="B17" s="18">
        <v>85883</v>
      </c>
      <c r="C17" s="18">
        <v>20</v>
      </c>
      <c r="D17" s="19" t="s">
        <v>51</v>
      </c>
      <c r="E17" s="19" t="s">
        <v>15</v>
      </c>
      <c r="F17" s="18">
        <v>4</v>
      </c>
      <c r="G17" s="19" t="s">
        <v>16</v>
      </c>
      <c r="H17" s="19" t="s">
        <v>52</v>
      </c>
      <c r="I17" s="19"/>
      <c r="J17" s="19" t="s">
        <v>52</v>
      </c>
      <c r="K17" s="20">
        <v>31.37</v>
      </c>
      <c r="N17">
        <f t="shared" si="0"/>
        <v>85883</v>
      </c>
      <c r="O17">
        <f>IF(AND(A17&gt;0,A17&lt;999),IFERROR(VLOOKUP(results0122[[#This Row],[Card]],U14M[],1,FALSE),0),0)</f>
        <v>85883</v>
      </c>
      <c r="P17">
        <f t="shared" si="1"/>
        <v>16</v>
      </c>
    </row>
    <row r="18" spans="1:16" ht="14.45" x14ac:dyDescent="0.3">
      <c r="A18" s="13">
        <v>17</v>
      </c>
      <c r="B18" s="14">
        <v>80809</v>
      </c>
      <c r="C18" s="14">
        <v>30</v>
      </c>
      <c r="D18" s="15" t="s">
        <v>53</v>
      </c>
      <c r="E18" s="15" t="s">
        <v>54</v>
      </c>
      <c r="F18" s="14">
        <v>4</v>
      </c>
      <c r="G18" s="15" t="s">
        <v>16</v>
      </c>
      <c r="H18" s="15" t="s">
        <v>55</v>
      </c>
      <c r="I18" s="15"/>
      <c r="J18" s="15" t="s">
        <v>55</v>
      </c>
      <c r="K18" s="16">
        <v>33.56</v>
      </c>
      <c r="N18">
        <f t="shared" si="0"/>
        <v>80809</v>
      </c>
      <c r="O18">
        <f>IF(AND(A18&gt;0,A18&lt;999),IFERROR(VLOOKUP(results0122[[#This Row],[Card]],U14M[],1,FALSE),0),0)</f>
        <v>80809</v>
      </c>
      <c r="P18">
        <f t="shared" si="1"/>
        <v>17</v>
      </c>
    </row>
    <row r="19" spans="1:16" ht="14.45" x14ac:dyDescent="0.3">
      <c r="A19" s="17">
        <v>18</v>
      </c>
      <c r="B19" s="18">
        <v>82440</v>
      </c>
      <c r="C19" s="18">
        <v>64</v>
      </c>
      <c r="D19" s="19" t="s">
        <v>56</v>
      </c>
      <c r="E19" s="19" t="s">
        <v>15</v>
      </c>
      <c r="F19" s="18">
        <v>4</v>
      </c>
      <c r="G19" s="19" t="s">
        <v>16</v>
      </c>
      <c r="H19" s="19" t="s">
        <v>57</v>
      </c>
      <c r="I19" s="19"/>
      <c r="J19" s="19" t="s">
        <v>57</v>
      </c>
      <c r="K19" s="20">
        <v>33.78</v>
      </c>
      <c r="N19">
        <f t="shared" si="0"/>
        <v>82440</v>
      </c>
      <c r="O19">
        <f>IF(AND(A19&gt;0,A19&lt;999),IFERROR(VLOOKUP(results0122[[#This Row],[Card]],U14M[],1,FALSE),0),0)</f>
        <v>82440</v>
      </c>
      <c r="P19">
        <f t="shared" si="1"/>
        <v>18</v>
      </c>
    </row>
    <row r="20" spans="1:16" ht="14.45" x14ac:dyDescent="0.3">
      <c r="A20" s="13">
        <v>19</v>
      </c>
      <c r="B20" s="14">
        <v>80628</v>
      </c>
      <c r="C20" s="14">
        <v>24</v>
      </c>
      <c r="D20" s="15" t="s">
        <v>58</v>
      </c>
      <c r="E20" s="15" t="s">
        <v>19</v>
      </c>
      <c r="F20" s="14">
        <v>4</v>
      </c>
      <c r="G20" s="15" t="s">
        <v>16</v>
      </c>
      <c r="H20" s="15" t="s">
        <v>59</v>
      </c>
      <c r="I20" s="15"/>
      <c r="J20" s="15" t="s">
        <v>59</v>
      </c>
      <c r="K20" s="16">
        <v>34.880000000000003</v>
      </c>
      <c r="N20">
        <f t="shared" si="0"/>
        <v>80628</v>
      </c>
      <c r="O20">
        <f>IF(AND(A20&gt;0,A20&lt;999),IFERROR(VLOOKUP(results0122[[#This Row],[Card]],U14M[],1,FALSE),0),0)</f>
        <v>80628</v>
      </c>
      <c r="P20">
        <f t="shared" si="1"/>
        <v>19</v>
      </c>
    </row>
    <row r="21" spans="1:16" ht="14.45" x14ac:dyDescent="0.3">
      <c r="A21" s="17">
        <v>20</v>
      </c>
      <c r="B21" s="18">
        <v>75018</v>
      </c>
      <c r="C21" s="18">
        <v>18</v>
      </c>
      <c r="D21" s="19" t="s">
        <v>60</v>
      </c>
      <c r="E21" s="19" t="s">
        <v>61</v>
      </c>
      <c r="F21" s="18">
        <v>4</v>
      </c>
      <c r="G21" s="19" t="s">
        <v>16</v>
      </c>
      <c r="H21" s="19" t="s">
        <v>62</v>
      </c>
      <c r="I21" s="19"/>
      <c r="J21" s="19" t="s">
        <v>62</v>
      </c>
      <c r="K21" s="20">
        <v>37.29</v>
      </c>
      <c r="N21">
        <f t="shared" si="0"/>
        <v>75018</v>
      </c>
      <c r="O21">
        <f>IF(AND(A21&gt;0,A21&lt;999),IFERROR(VLOOKUP(results0122[[#This Row],[Card]],U14M[],1,FALSE),0),0)</f>
        <v>75018</v>
      </c>
      <c r="P21">
        <f t="shared" si="1"/>
        <v>20</v>
      </c>
    </row>
    <row r="22" spans="1:16" ht="14.45" x14ac:dyDescent="0.3">
      <c r="A22" s="13">
        <v>21</v>
      </c>
      <c r="B22" s="14">
        <v>81112</v>
      </c>
      <c r="C22" s="14">
        <v>34</v>
      </c>
      <c r="D22" s="15" t="s">
        <v>63</v>
      </c>
      <c r="E22" s="15" t="s">
        <v>22</v>
      </c>
      <c r="F22" s="14">
        <v>4</v>
      </c>
      <c r="G22" s="15" t="s">
        <v>16</v>
      </c>
      <c r="H22" s="15" t="s">
        <v>64</v>
      </c>
      <c r="I22" s="15"/>
      <c r="J22" s="15" t="s">
        <v>64</v>
      </c>
      <c r="K22" s="16">
        <v>37.729999999999997</v>
      </c>
      <c r="N22">
        <f t="shared" si="0"/>
        <v>81112</v>
      </c>
      <c r="O22">
        <f>IF(AND(A22&gt;0,A22&lt;999),IFERROR(VLOOKUP(results0122[[#This Row],[Card]],U14M[],1,FALSE),0),0)</f>
        <v>81112</v>
      </c>
      <c r="P22">
        <f t="shared" si="1"/>
        <v>21</v>
      </c>
    </row>
    <row r="23" spans="1:16" ht="14.45" x14ac:dyDescent="0.3">
      <c r="A23" s="17">
        <v>22</v>
      </c>
      <c r="B23" s="18">
        <v>80715</v>
      </c>
      <c r="C23" s="18">
        <v>19</v>
      </c>
      <c r="D23" s="19" t="s">
        <v>65</v>
      </c>
      <c r="E23" s="19" t="s">
        <v>22</v>
      </c>
      <c r="F23" s="18">
        <v>4</v>
      </c>
      <c r="G23" s="19" t="s">
        <v>16</v>
      </c>
      <c r="H23" s="19" t="s">
        <v>66</v>
      </c>
      <c r="I23" s="19"/>
      <c r="J23" s="19" t="s">
        <v>66</v>
      </c>
      <c r="K23" s="20">
        <v>42.56</v>
      </c>
      <c r="N23">
        <f t="shared" si="0"/>
        <v>80715</v>
      </c>
      <c r="O23">
        <f>IF(AND(A23&gt;0,A23&lt;999),IFERROR(VLOOKUP(results0122[[#This Row],[Card]],U14M[],1,FALSE),0),0)</f>
        <v>80715</v>
      </c>
      <c r="P23">
        <f t="shared" si="1"/>
        <v>22</v>
      </c>
    </row>
    <row r="24" spans="1:16" ht="14.45" x14ac:dyDescent="0.3">
      <c r="A24" s="13">
        <v>22</v>
      </c>
      <c r="B24" s="14">
        <v>80683</v>
      </c>
      <c r="C24" s="14">
        <v>17</v>
      </c>
      <c r="D24" s="15" t="s">
        <v>67</v>
      </c>
      <c r="E24" s="15" t="s">
        <v>15</v>
      </c>
      <c r="F24" s="14">
        <v>4</v>
      </c>
      <c r="G24" s="15" t="s">
        <v>16</v>
      </c>
      <c r="H24" s="15" t="s">
        <v>66</v>
      </c>
      <c r="I24" s="15"/>
      <c r="J24" s="15" t="s">
        <v>66</v>
      </c>
      <c r="K24" s="16">
        <v>42.56</v>
      </c>
      <c r="N24">
        <f t="shared" si="0"/>
        <v>80683</v>
      </c>
      <c r="O24">
        <f>IF(AND(A24&gt;0,A24&lt;999),IFERROR(VLOOKUP(results0122[[#This Row],[Card]],U14M[],1,FALSE),0),0)</f>
        <v>80683</v>
      </c>
      <c r="P24">
        <f t="shared" si="1"/>
        <v>22</v>
      </c>
    </row>
    <row r="25" spans="1:16" ht="14.45" x14ac:dyDescent="0.3">
      <c r="A25" s="17">
        <v>24</v>
      </c>
      <c r="B25" s="18">
        <v>84829</v>
      </c>
      <c r="C25" s="18">
        <v>12</v>
      </c>
      <c r="D25" s="19" t="s">
        <v>68</v>
      </c>
      <c r="E25" s="19" t="s">
        <v>15</v>
      </c>
      <c r="F25" s="18">
        <v>5</v>
      </c>
      <c r="G25" s="19" t="s">
        <v>16</v>
      </c>
      <c r="H25" s="19" t="s">
        <v>69</v>
      </c>
      <c r="I25" s="19"/>
      <c r="J25" s="19" t="s">
        <v>69</v>
      </c>
      <c r="K25" s="20">
        <v>43.22</v>
      </c>
      <c r="N25">
        <f t="shared" si="0"/>
        <v>84829</v>
      </c>
      <c r="O25">
        <f>IF(AND(A25&gt;0,A25&lt;999),IFERROR(VLOOKUP(results0122[[#This Row],[Card]],U14M[],1,FALSE),0),0)</f>
        <v>84829</v>
      </c>
      <c r="P25">
        <f t="shared" si="1"/>
        <v>24</v>
      </c>
    </row>
    <row r="26" spans="1:16" ht="14.45" x14ac:dyDescent="0.3">
      <c r="A26" s="13">
        <v>25</v>
      </c>
      <c r="B26" s="14">
        <v>80669</v>
      </c>
      <c r="C26" s="14">
        <v>16</v>
      </c>
      <c r="D26" s="15" t="s">
        <v>70</v>
      </c>
      <c r="E26" s="15" t="s">
        <v>15</v>
      </c>
      <c r="F26" s="14">
        <v>4</v>
      </c>
      <c r="G26" s="15" t="s">
        <v>16</v>
      </c>
      <c r="H26" s="15" t="s">
        <v>71</v>
      </c>
      <c r="I26" s="15"/>
      <c r="J26" s="15" t="s">
        <v>71</v>
      </c>
      <c r="K26" s="16">
        <v>52.87</v>
      </c>
      <c r="N26">
        <f t="shared" si="0"/>
        <v>80669</v>
      </c>
      <c r="O26">
        <f>IF(AND(A26&gt;0,A26&lt;999),IFERROR(VLOOKUP(results0122[[#This Row],[Card]],U14M[],1,FALSE),0),0)</f>
        <v>80669</v>
      </c>
      <c r="P26">
        <f t="shared" si="1"/>
        <v>25</v>
      </c>
    </row>
    <row r="27" spans="1:16" ht="14.45" x14ac:dyDescent="0.3">
      <c r="A27" s="17">
        <v>26</v>
      </c>
      <c r="B27" s="18">
        <v>81322</v>
      </c>
      <c r="C27" s="18">
        <v>67</v>
      </c>
      <c r="D27" s="19" t="s">
        <v>72</v>
      </c>
      <c r="E27" s="19" t="s">
        <v>22</v>
      </c>
      <c r="F27" s="18">
        <v>4</v>
      </c>
      <c r="G27" s="19" t="s">
        <v>16</v>
      </c>
      <c r="H27" s="19" t="s">
        <v>73</v>
      </c>
      <c r="I27" s="19"/>
      <c r="J27" s="19" t="s">
        <v>73</v>
      </c>
      <c r="K27" s="20">
        <v>53.53</v>
      </c>
      <c r="N27">
        <f t="shared" si="0"/>
        <v>81322</v>
      </c>
      <c r="O27">
        <f>IF(AND(A27&gt;0,A27&lt;999),IFERROR(VLOOKUP(results0122[[#This Row],[Card]],U14M[],1,FALSE),0),0)</f>
        <v>81322</v>
      </c>
      <c r="P27">
        <f t="shared" si="1"/>
        <v>26</v>
      </c>
    </row>
    <row r="28" spans="1:16" x14ac:dyDescent="0.25">
      <c r="A28" s="13">
        <v>27</v>
      </c>
      <c r="B28" s="14">
        <v>80685</v>
      </c>
      <c r="C28" s="14">
        <v>65</v>
      </c>
      <c r="D28" s="15" t="s">
        <v>74</v>
      </c>
      <c r="E28" s="15" t="s">
        <v>15</v>
      </c>
      <c r="F28" s="14">
        <v>4</v>
      </c>
      <c r="G28" s="15" t="s">
        <v>16</v>
      </c>
      <c r="H28" s="15" t="s">
        <v>75</v>
      </c>
      <c r="I28" s="15"/>
      <c r="J28" s="15" t="s">
        <v>75</v>
      </c>
      <c r="K28" s="16">
        <v>57.48</v>
      </c>
      <c r="N28">
        <f t="shared" si="0"/>
        <v>80685</v>
      </c>
      <c r="O28">
        <f>IF(AND(A28&gt;0,A28&lt;999),IFERROR(VLOOKUP(results0122[[#This Row],[Card]],U14M[],1,FALSE),0),0)</f>
        <v>80685</v>
      </c>
      <c r="P28">
        <f t="shared" si="1"/>
        <v>27</v>
      </c>
    </row>
    <row r="29" spans="1:16" x14ac:dyDescent="0.25">
      <c r="A29" s="17">
        <v>28</v>
      </c>
      <c r="B29" s="18">
        <v>80625</v>
      </c>
      <c r="C29" s="18">
        <v>69</v>
      </c>
      <c r="D29" s="19" t="s">
        <v>76</v>
      </c>
      <c r="E29" s="19" t="s">
        <v>19</v>
      </c>
      <c r="F29" s="18">
        <v>4</v>
      </c>
      <c r="G29" s="19" t="s">
        <v>16</v>
      </c>
      <c r="H29" s="19" t="s">
        <v>77</v>
      </c>
      <c r="I29" s="19"/>
      <c r="J29" s="19" t="s">
        <v>77</v>
      </c>
      <c r="K29" s="20">
        <v>57.92</v>
      </c>
      <c r="N29">
        <f t="shared" si="0"/>
        <v>80625</v>
      </c>
      <c r="O29">
        <f>IF(AND(A29&gt;0,A29&lt;999),IFERROR(VLOOKUP(results0122[[#This Row],[Card]],U14M[],1,FALSE),0),0)</f>
        <v>80625</v>
      </c>
      <c r="P29">
        <f t="shared" si="1"/>
        <v>28</v>
      </c>
    </row>
    <row r="30" spans="1:16" x14ac:dyDescent="0.25">
      <c r="A30" s="13">
        <v>29</v>
      </c>
      <c r="B30" s="14">
        <v>82314</v>
      </c>
      <c r="C30" s="14">
        <v>9</v>
      </c>
      <c r="D30" s="15" t="s">
        <v>78</v>
      </c>
      <c r="E30" s="15" t="s">
        <v>15</v>
      </c>
      <c r="F30" s="14">
        <v>4</v>
      </c>
      <c r="G30" s="15" t="s">
        <v>16</v>
      </c>
      <c r="H30" s="15" t="s">
        <v>79</v>
      </c>
      <c r="I30" s="15"/>
      <c r="J30" s="15" t="s">
        <v>79</v>
      </c>
      <c r="K30" s="16">
        <v>58.57</v>
      </c>
      <c r="N30">
        <f t="shared" si="0"/>
        <v>82314</v>
      </c>
      <c r="O30">
        <f>IF(AND(A30&gt;0,A30&lt;999),IFERROR(VLOOKUP(results0122[[#This Row],[Card]],U14M[],1,FALSE),0),0)</f>
        <v>82314</v>
      </c>
      <c r="P30">
        <f t="shared" si="1"/>
        <v>29</v>
      </c>
    </row>
    <row r="31" spans="1:16" x14ac:dyDescent="0.25">
      <c r="A31" s="17">
        <v>30</v>
      </c>
      <c r="B31" s="18">
        <v>80824</v>
      </c>
      <c r="C31" s="18">
        <v>70</v>
      </c>
      <c r="D31" s="19" t="s">
        <v>80</v>
      </c>
      <c r="E31" s="19" t="s">
        <v>54</v>
      </c>
      <c r="F31" s="18">
        <v>4</v>
      </c>
      <c r="G31" s="19" t="s">
        <v>16</v>
      </c>
      <c r="H31" s="19" t="s">
        <v>81</v>
      </c>
      <c r="I31" s="19"/>
      <c r="J31" s="19" t="s">
        <v>81</v>
      </c>
      <c r="K31" s="20">
        <v>58.79</v>
      </c>
      <c r="N31">
        <f t="shared" si="0"/>
        <v>80824</v>
      </c>
      <c r="O31">
        <f>IF(AND(A31&gt;0,A31&lt;999),IFERROR(VLOOKUP(results0122[[#This Row],[Card]],U14M[],1,FALSE),0),0)</f>
        <v>80824</v>
      </c>
      <c r="P31">
        <f t="shared" si="1"/>
        <v>30</v>
      </c>
    </row>
    <row r="32" spans="1:16" x14ac:dyDescent="0.25">
      <c r="A32" s="13">
        <v>31</v>
      </c>
      <c r="B32" s="14">
        <v>85853</v>
      </c>
      <c r="C32" s="14">
        <v>25</v>
      </c>
      <c r="D32" s="15" t="s">
        <v>82</v>
      </c>
      <c r="E32" s="15" t="s">
        <v>15</v>
      </c>
      <c r="F32" s="14">
        <v>5</v>
      </c>
      <c r="G32" s="15" t="s">
        <v>16</v>
      </c>
      <c r="H32" s="15" t="s">
        <v>83</v>
      </c>
      <c r="I32" s="15"/>
      <c r="J32" s="15" t="s">
        <v>83</v>
      </c>
      <c r="K32" s="16">
        <v>59.89</v>
      </c>
      <c r="N32">
        <f t="shared" si="0"/>
        <v>85853</v>
      </c>
      <c r="O32">
        <f>IF(AND(A32&gt;0,A32&lt;999),IFERROR(VLOOKUP(results0122[[#This Row],[Card]],U14M[],1,FALSE),0),0)</f>
        <v>85853</v>
      </c>
      <c r="P32">
        <f t="shared" si="1"/>
        <v>31</v>
      </c>
    </row>
    <row r="33" spans="1:16" x14ac:dyDescent="0.25">
      <c r="A33" s="17">
        <v>32</v>
      </c>
      <c r="B33" s="18">
        <v>77422</v>
      </c>
      <c r="C33" s="18">
        <v>23</v>
      </c>
      <c r="D33" s="19" t="s">
        <v>84</v>
      </c>
      <c r="E33" s="19" t="s">
        <v>54</v>
      </c>
      <c r="F33" s="18">
        <v>4</v>
      </c>
      <c r="G33" s="19" t="s">
        <v>16</v>
      </c>
      <c r="H33" s="19" t="s">
        <v>85</v>
      </c>
      <c r="I33" s="19"/>
      <c r="J33" s="19" t="s">
        <v>85</v>
      </c>
      <c r="K33" s="20">
        <v>60.11</v>
      </c>
      <c r="N33">
        <f t="shared" si="0"/>
        <v>77422</v>
      </c>
      <c r="O33">
        <f>IF(AND(A33&gt;0,A33&lt;999),IFERROR(VLOOKUP(results0122[[#This Row],[Card]],U14M[],1,FALSE),0),0)</f>
        <v>77422</v>
      </c>
      <c r="P33">
        <f t="shared" si="1"/>
        <v>32</v>
      </c>
    </row>
    <row r="34" spans="1:16" x14ac:dyDescent="0.25">
      <c r="A34" s="13">
        <v>33</v>
      </c>
      <c r="B34" s="14">
        <v>81110</v>
      </c>
      <c r="C34" s="14">
        <v>28</v>
      </c>
      <c r="D34" s="15" t="s">
        <v>86</v>
      </c>
      <c r="E34" s="15" t="s">
        <v>22</v>
      </c>
      <c r="F34" s="14">
        <v>5</v>
      </c>
      <c r="G34" s="15" t="s">
        <v>16</v>
      </c>
      <c r="H34" s="15" t="s">
        <v>87</v>
      </c>
      <c r="I34" s="15"/>
      <c r="J34" s="15" t="s">
        <v>87</v>
      </c>
      <c r="K34" s="16">
        <v>64.06</v>
      </c>
      <c r="N34">
        <f t="shared" ref="N34:N65" si="2">B34</f>
        <v>81110</v>
      </c>
      <c r="O34">
        <f>IF(AND(A34&gt;0,A34&lt;999),IFERROR(VLOOKUP(results0122[[#This Row],[Card]],U14M[],1,FALSE),0),0)</f>
        <v>81110</v>
      </c>
      <c r="P34">
        <f t="shared" ref="P34:P65" si="3">A34</f>
        <v>33</v>
      </c>
    </row>
    <row r="35" spans="1:16" x14ac:dyDescent="0.25">
      <c r="A35" s="17">
        <v>34</v>
      </c>
      <c r="B35" s="18">
        <v>80828</v>
      </c>
      <c r="C35" s="18">
        <v>38</v>
      </c>
      <c r="D35" s="19" t="s">
        <v>88</v>
      </c>
      <c r="E35" s="19" t="s">
        <v>54</v>
      </c>
      <c r="F35" s="18">
        <v>5</v>
      </c>
      <c r="G35" s="19" t="s">
        <v>16</v>
      </c>
      <c r="H35" s="19" t="s">
        <v>89</v>
      </c>
      <c r="I35" s="19"/>
      <c r="J35" s="19" t="s">
        <v>89</v>
      </c>
      <c r="K35" s="20">
        <v>65.59</v>
      </c>
      <c r="N35">
        <f t="shared" si="2"/>
        <v>80828</v>
      </c>
      <c r="O35">
        <f>IF(AND(A35&gt;0,A35&lt;999),IFERROR(VLOOKUP(results0122[[#This Row],[Card]],U14M[],1,FALSE),0),0)</f>
        <v>80828</v>
      </c>
      <c r="P35">
        <f t="shared" si="3"/>
        <v>34</v>
      </c>
    </row>
    <row r="36" spans="1:16" x14ac:dyDescent="0.25">
      <c r="A36" s="13">
        <v>35</v>
      </c>
      <c r="B36" s="14">
        <v>80729</v>
      </c>
      <c r="C36" s="14">
        <v>63</v>
      </c>
      <c r="D36" s="15" t="s">
        <v>90</v>
      </c>
      <c r="E36" s="15" t="s">
        <v>22</v>
      </c>
      <c r="F36" s="14">
        <v>4</v>
      </c>
      <c r="G36" s="15" t="s">
        <v>16</v>
      </c>
      <c r="H36" s="15" t="s">
        <v>91</v>
      </c>
      <c r="I36" s="15"/>
      <c r="J36" s="15" t="s">
        <v>91</v>
      </c>
      <c r="K36" s="16">
        <v>66.91</v>
      </c>
      <c r="N36">
        <f t="shared" si="2"/>
        <v>80729</v>
      </c>
      <c r="O36">
        <f>IF(AND(A36&gt;0,A36&lt;999),IFERROR(VLOOKUP(results0122[[#This Row],[Card]],U14M[],1,FALSE),0),0)</f>
        <v>80729</v>
      </c>
      <c r="P36">
        <f t="shared" si="3"/>
        <v>35</v>
      </c>
    </row>
    <row r="37" spans="1:16" x14ac:dyDescent="0.25">
      <c r="A37" s="17">
        <v>36</v>
      </c>
      <c r="B37" s="18">
        <v>78276</v>
      </c>
      <c r="C37" s="18">
        <v>68</v>
      </c>
      <c r="D37" s="19" t="s">
        <v>92</v>
      </c>
      <c r="E37" s="19" t="s">
        <v>31</v>
      </c>
      <c r="F37" s="18">
        <v>4</v>
      </c>
      <c r="G37" s="19" t="s">
        <v>16</v>
      </c>
      <c r="H37" s="19" t="s">
        <v>93</v>
      </c>
      <c r="I37" s="19"/>
      <c r="J37" s="19" t="s">
        <v>93</v>
      </c>
      <c r="K37" s="20">
        <v>77.44</v>
      </c>
      <c r="N37">
        <f t="shared" si="2"/>
        <v>78276</v>
      </c>
      <c r="O37">
        <f>IF(AND(A37&gt;0,A37&lt;999),IFERROR(VLOOKUP(results0122[[#This Row],[Card]],U14M[],1,FALSE),0),0)</f>
        <v>78276</v>
      </c>
      <c r="P37">
        <f t="shared" si="3"/>
        <v>36</v>
      </c>
    </row>
    <row r="38" spans="1:16" x14ac:dyDescent="0.25">
      <c r="A38" s="13">
        <v>37</v>
      </c>
      <c r="B38" s="14">
        <v>80718</v>
      </c>
      <c r="C38" s="14">
        <v>37</v>
      </c>
      <c r="D38" s="15" t="s">
        <v>94</v>
      </c>
      <c r="E38" s="15" t="s">
        <v>22</v>
      </c>
      <c r="F38" s="14">
        <v>4</v>
      </c>
      <c r="G38" s="15" t="s">
        <v>16</v>
      </c>
      <c r="H38" s="15" t="s">
        <v>95</v>
      </c>
      <c r="I38" s="15"/>
      <c r="J38" s="15" t="s">
        <v>95</v>
      </c>
      <c r="K38" s="16">
        <v>79.2</v>
      </c>
      <c r="N38">
        <f t="shared" si="2"/>
        <v>80718</v>
      </c>
      <c r="O38">
        <f>IF(AND(A38&gt;0,A38&lt;999),IFERROR(VLOOKUP(results0122[[#This Row],[Card]],U14M[],1,FALSE),0),0)</f>
        <v>80718</v>
      </c>
      <c r="P38">
        <f t="shared" si="3"/>
        <v>37</v>
      </c>
    </row>
    <row r="39" spans="1:16" x14ac:dyDescent="0.25">
      <c r="A39" s="17">
        <v>38</v>
      </c>
      <c r="B39" s="18">
        <v>82441</v>
      </c>
      <c r="C39" s="18">
        <v>74</v>
      </c>
      <c r="D39" s="19" t="s">
        <v>96</v>
      </c>
      <c r="E39" s="19" t="s">
        <v>15</v>
      </c>
      <c r="F39" s="18">
        <v>4</v>
      </c>
      <c r="G39" s="19" t="s">
        <v>16</v>
      </c>
      <c r="H39" s="19" t="s">
        <v>97</v>
      </c>
      <c r="I39" s="19"/>
      <c r="J39" s="19" t="s">
        <v>97</v>
      </c>
      <c r="K39" s="20">
        <v>79.41</v>
      </c>
      <c r="N39">
        <f t="shared" si="2"/>
        <v>82441</v>
      </c>
      <c r="O39">
        <f>IF(AND(A39&gt;0,A39&lt;999),IFERROR(VLOOKUP(results0122[[#This Row],[Card]],U14M[],1,FALSE),0),0)</f>
        <v>82441</v>
      </c>
      <c r="P39">
        <f t="shared" si="3"/>
        <v>38</v>
      </c>
    </row>
    <row r="40" spans="1:16" x14ac:dyDescent="0.25">
      <c r="A40" s="13">
        <v>39</v>
      </c>
      <c r="B40" s="14">
        <v>80720</v>
      </c>
      <c r="C40" s="14">
        <v>33</v>
      </c>
      <c r="D40" s="15" t="s">
        <v>98</v>
      </c>
      <c r="E40" s="15" t="s">
        <v>22</v>
      </c>
      <c r="F40" s="14">
        <v>5</v>
      </c>
      <c r="G40" s="15" t="s">
        <v>16</v>
      </c>
      <c r="H40" s="15" t="s">
        <v>99</v>
      </c>
      <c r="I40" s="15"/>
      <c r="J40" s="15" t="s">
        <v>99</v>
      </c>
      <c r="K40" s="16">
        <v>83.14</v>
      </c>
      <c r="N40">
        <f t="shared" si="2"/>
        <v>80720</v>
      </c>
      <c r="O40">
        <f>IF(AND(A40&gt;0,A40&lt;999),IFERROR(VLOOKUP(results0122[[#This Row],[Card]],U14M[],1,FALSE),0),0)</f>
        <v>80720</v>
      </c>
      <c r="P40">
        <f t="shared" si="3"/>
        <v>39</v>
      </c>
    </row>
    <row r="41" spans="1:16" x14ac:dyDescent="0.25">
      <c r="A41" s="17">
        <v>40</v>
      </c>
      <c r="B41" s="18">
        <v>74564</v>
      </c>
      <c r="C41" s="18">
        <v>90</v>
      </c>
      <c r="D41" s="19" t="s">
        <v>100</v>
      </c>
      <c r="E41" s="19" t="s">
        <v>101</v>
      </c>
      <c r="F41" s="18">
        <v>5</v>
      </c>
      <c r="G41" s="19" t="s">
        <v>16</v>
      </c>
      <c r="H41" s="19" t="s">
        <v>102</v>
      </c>
      <c r="I41" s="19"/>
      <c r="J41" s="19" t="s">
        <v>102</v>
      </c>
      <c r="K41" s="20">
        <v>86.87</v>
      </c>
      <c r="N41">
        <f t="shared" si="2"/>
        <v>74564</v>
      </c>
      <c r="O41">
        <f>IF(AND(A41&gt;0,A41&lt;999),IFERROR(VLOOKUP(results0122[[#This Row],[Card]],U14M[],1,FALSE),0),0)</f>
        <v>74564</v>
      </c>
      <c r="P41">
        <f t="shared" si="3"/>
        <v>40</v>
      </c>
    </row>
    <row r="42" spans="1:16" x14ac:dyDescent="0.25">
      <c r="A42" s="13">
        <v>41</v>
      </c>
      <c r="B42" s="14">
        <v>84763</v>
      </c>
      <c r="C42" s="14">
        <v>35</v>
      </c>
      <c r="D42" s="15" t="s">
        <v>103</v>
      </c>
      <c r="E42" s="15" t="s">
        <v>15</v>
      </c>
      <c r="F42" s="14">
        <v>5</v>
      </c>
      <c r="G42" s="15" t="s">
        <v>16</v>
      </c>
      <c r="H42" s="15" t="s">
        <v>104</v>
      </c>
      <c r="I42" s="15"/>
      <c r="J42" s="15" t="s">
        <v>104</v>
      </c>
      <c r="K42" s="16">
        <v>87.97</v>
      </c>
      <c r="N42">
        <f t="shared" si="2"/>
        <v>84763</v>
      </c>
      <c r="O42">
        <f>IF(AND(A42&gt;0,A42&lt;999),IFERROR(VLOOKUP(results0122[[#This Row],[Card]],U14M[],1,FALSE),0),0)</f>
        <v>84763</v>
      </c>
      <c r="P42">
        <f t="shared" si="3"/>
        <v>41</v>
      </c>
    </row>
    <row r="43" spans="1:16" x14ac:dyDescent="0.25">
      <c r="A43" s="17">
        <v>42</v>
      </c>
      <c r="B43" s="18">
        <v>81491</v>
      </c>
      <c r="C43" s="18">
        <v>52</v>
      </c>
      <c r="D43" s="19" t="s">
        <v>105</v>
      </c>
      <c r="E43" s="19" t="s">
        <v>22</v>
      </c>
      <c r="F43" s="18">
        <v>5</v>
      </c>
      <c r="G43" s="19" t="s">
        <v>16</v>
      </c>
      <c r="H43" s="19" t="s">
        <v>106</v>
      </c>
      <c r="I43" s="19"/>
      <c r="J43" s="19" t="s">
        <v>106</v>
      </c>
      <c r="K43" s="20">
        <v>89.07</v>
      </c>
      <c r="N43">
        <f t="shared" si="2"/>
        <v>81491</v>
      </c>
      <c r="O43">
        <f>IF(AND(A43&gt;0,A43&lt;999),IFERROR(VLOOKUP(results0122[[#This Row],[Card]],U14M[],1,FALSE),0),0)</f>
        <v>81491</v>
      </c>
      <c r="P43">
        <f t="shared" si="3"/>
        <v>42</v>
      </c>
    </row>
    <row r="44" spans="1:16" x14ac:dyDescent="0.25">
      <c r="A44" s="13">
        <v>43</v>
      </c>
      <c r="B44" s="14">
        <v>76864</v>
      </c>
      <c r="C44" s="14">
        <v>45</v>
      </c>
      <c r="D44" s="15" t="s">
        <v>107</v>
      </c>
      <c r="E44" s="15" t="s">
        <v>38</v>
      </c>
      <c r="F44" s="14">
        <v>4</v>
      </c>
      <c r="G44" s="15" t="s">
        <v>16</v>
      </c>
      <c r="H44" s="15" t="s">
        <v>108</v>
      </c>
      <c r="I44" s="15"/>
      <c r="J44" s="15" t="s">
        <v>108</v>
      </c>
      <c r="K44" s="16">
        <v>89.29</v>
      </c>
      <c r="N44">
        <f t="shared" si="2"/>
        <v>76864</v>
      </c>
      <c r="O44">
        <f>IF(AND(A44&gt;0,A44&lt;999),IFERROR(VLOOKUP(results0122[[#This Row],[Card]],U14M[],1,FALSE),0),0)</f>
        <v>76864</v>
      </c>
      <c r="P44">
        <f t="shared" si="3"/>
        <v>43</v>
      </c>
    </row>
    <row r="45" spans="1:16" x14ac:dyDescent="0.25">
      <c r="A45" s="17">
        <v>44</v>
      </c>
      <c r="B45" s="18">
        <v>76572</v>
      </c>
      <c r="C45" s="18">
        <v>32</v>
      </c>
      <c r="D45" s="19" t="s">
        <v>109</v>
      </c>
      <c r="E45" s="19" t="s">
        <v>38</v>
      </c>
      <c r="F45" s="18">
        <v>4</v>
      </c>
      <c r="G45" s="19" t="s">
        <v>16</v>
      </c>
      <c r="H45" s="19" t="s">
        <v>110</v>
      </c>
      <c r="I45" s="19"/>
      <c r="J45" s="19" t="s">
        <v>110</v>
      </c>
      <c r="K45" s="20">
        <v>89.51</v>
      </c>
      <c r="N45">
        <f t="shared" si="2"/>
        <v>76572</v>
      </c>
      <c r="O45">
        <f>IF(AND(A45&gt;0,A45&lt;999),IFERROR(VLOOKUP(results0122[[#This Row],[Card]],U14M[],1,FALSE),0),0)</f>
        <v>76572</v>
      </c>
      <c r="P45">
        <f t="shared" si="3"/>
        <v>44</v>
      </c>
    </row>
    <row r="46" spans="1:16" x14ac:dyDescent="0.25">
      <c r="A46" s="13">
        <v>45</v>
      </c>
      <c r="B46" s="14">
        <v>82143</v>
      </c>
      <c r="C46" s="14">
        <v>7</v>
      </c>
      <c r="D46" s="15" t="s">
        <v>111</v>
      </c>
      <c r="E46" s="15" t="s">
        <v>112</v>
      </c>
      <c r="F46" s="14">
        <v>5</v>
      </c>
      <c r="G46" s="15" t="s">
        <v>16</v>
      </c>
      <c r="H46" s="15" t="s">
        <v>113</v>
      </c>
      <c r="I46" s="15"/>
      <c r="J46" s="15" t="s">
        <v>113</v>
      </c>
      <c r="K46" s="16">
        <v>91.92</v>
      </c>
      <c r="N46">
        <f t="shared" si="2"/>
        <v>82143</v>
      </c>
      <c r="O46">
        <f>IF(AND(A46&gt;0,A46&lt;999),IFERROR(VLOOKUP(results0122[[#This Row],[Card]],U14M[],1,FALSE),0),0)</f>
        <v>82143</v>
      </c>
      <c r="P46">
        <f t="shared" si="3"/>
        <v>45</v>
      </c>
    </row>
    <row r="47" spans="1:16" x14ac:dyDescent="0.25">
      <c r="A47" s="17">
        <v>46</v>
      </c>
      <c r="B47" s="18">
        <v>82186</v>
      </c>
      <c r="C47" s="18">
        <v>22</v>
      </c>
      <c r="D47" s="19" t="s">
        <v>114</v>
      </c>
      <c r="E47" s="19" t="s">
        <v>15</v>
      </c>
      <c r="F47" s="18">
        <v>4</v>
      </c>
      <c r="G47" s="19" t="s">
        <v>16</v>
      </c>
      <c r="H47" s="19" t="s">
        <v>115</v>
      </c>
      <c r="I47" s="19"/>
      <c r="J47" s="19" t="s">
        <v>115</v>
      </c>
      <c r="K47" s="20">
        <v>93.89</v>
      </c>
      <c r="N47">
        <f t="shared" si="2"/>
        <v>82186</v>
      </c>
      <c r="O47">
        <f>IF(AND(A47&gt;0,A47&lt;999),IFERROR(VLOOKUP(results0122[[#This Row],[Card]],U14M[],1,FALSE),0),0)</f>
        <v>82186</v>
      </c>
      <c r="P47">
        <f t="shared" si="3"/>
        <v>46</v>
      </c>
    </row>
    <row r="48" spans="1:16" x14ac:dyDescent="0.25">
      <c r="A48" s="13">
        <v>47</v>
      </c>
      <c r="B48" s="14">
        <v>78669</v>
      </c>
      <c r="C48" s="14">
        <v>40</v>
      </c>
      <c r="D48" s="15" t="s">
        <v>116</v>
      </c>
      <c r="E48" s="15" t="s">
        <v>117</v>
      </c>
      <c r="F48" s="14">
        <v>4</v>
      </c>
      <c r="G48" s="15" t="s">
        <v>16</v>
      </c>
      <c r="H48" s="15" t="s">
        <v>118</v>
      </c>
      <c r="I48" s="15"/>
      <c r="J48" s="15" t="s">
        <v>118</v>
      </c>
      <c r="K48" s="16">
        <v>94.11</v>
      </c>
      <c r="N48">
        <f t="shared" si="2"/>
        <v>78669</v>
      </c>
      <c r="O48">
        <f>IF(AND(A48&gt;0,A48&lt;999),IFERROR(VLOOKUP(results0122[[#This Row],[Card]],U14M[],1,FALSE),0),0)</f>
        <v>78669</v>
      </c>
      <c r="P48">
        <f t="shared" si="3"/>
        <v>47</v>
      </c>
    </row>
    <row r="49" spans="1:16" x14ac:dyDescent="0.25">
      <c r="A49" s="17">
        <v>48</v>
      </c>
      <c r="B49" s="18">
        <v>78165</v>
      </c>
      <c r="C49" s="18">
        <v>48</v>
      </c>
      <c r="D49" s="19" t="s">
        <v>119</v>
      </c>
      <c r="E49" s="19" t="s">
        <v>61</v>
      </c>
      <c r="F49" s="18">
        <v>4</v>
      </c>
      <c r="G49" s="19" t="s">
        <v>16</v>
      </c>
      <c r="H49" s="19" t="s">
        <v>120</v>
      </c>
      <c r="I49" s="19"/>
      <c r="J49" s="19" t="s">
        <v>120</v>
      </c>
      <c r="K49" s="20">
        <v>99.16</v>
      </c>
      <c r="N49">
        <f t="shared" si="2"/>
        <v>78165</v>
      </c>
      <c r="O49">
        <f>IF(AND(A49&gt;0,A49&lt;999),IFERROR(VLOOKUP(results0122[[#This Row],[Card]],U14M[],1,FALSE),0),0)</f>
        <v>78165</v>
      </c>
      <c r="P49">
        <f t="shared" si="3"/>
        <v>48</v>
      </c>
    </row>
    <row r="50" spans="1:16" x14ac:dyDescent="0.25">
      <c r="A50" s="13">
        <v>49</v>
      </c>
      <c r="B50" s="14">
        <v>78619</v>
      </c>
      <c r="C50" s="14">
        <v>47</v>
      </c>
      <c r="D50" s="15" t="s">
        <v>121</v>
      </c>
      <c r="E50" s="15" t="s">
        <v>61</v>
      </c>
      <c r="F50" s="14">
        <v>4</v>
      </c>
      <c r="G50" s="15" t="s">
        <v>16</v>
      </c>
      <c r="H50" s="15" t="s">
        <v>122</v>
      </c>
      <c r="I50" s="15"/>
      <c r="J50" s="15" t="s">
        <v>122</v>
      </c>
      <c r="K50" s="16">
        <v>103.11</v>
      </c>
      <c r="N50">
        <f t="shared" si="2"/>
        <v>78619</v>
      </c>
      <c r="O50">
        <f>IF(AND(A50&gt;0,A50&lt;999),IFERROR(VLOOKUP(results0122[[#This Row],[Card]],U14M[],1,FALSE),0),0)</f>
        <v>78619</v>
      </c>
      <c r="P50">
        <f t="shared" si="3"/>
        <v>49</v>
      </c>
    </row>
    <row r="51" spans="1:16" x14ac:dyDescent="0.25">
      <c r="A51" s="17">
        <v>50</v>
      </c>
      <c r="B51" s="18">
        <v>80618</v>
      </c>
      <c r="C51" s="18">
        <v>41</v>
      </c>
      <c r="D51" s="19" t="s">
        <v>123</v>
      </c>
      <c r="E51" s="19" t="s">
        <v>19</v>
      </c>
      <c r="F51" s="18">
        <v>4</v>
      </c>
      <c r="G51" s="19" t="s">
        <v>16</v>
      </c>
      <c r="H51" s="19" t="s">
        <v>124</v>
      </c>
      <c r="I51" s="19"/>
      <c r="J51" s="19" t="s">
        <v>124</v>
      </c>
      <c r="K51" s="20">
        <v>104.86</v>
      </c>
      <c r="N51">
        <f t="shared" si="2"/>
        <v>80618</v>
      </c>
      <c r="O51">
        <f>IF(AND(A51&gt;0,A51&lt;999),IFERROR(VLOOKUP(results0122[[#This Row],[Card]],U14M[],1,FALSE),0),0)</f>
        <v>80618</v>
      </c>
      <c r="P51">
        <f t="shared" si="3"/>
        <v>50</v>
      </c>
    </row>
    <row r="52" spans="1:16" x14ac:dyDescent="0.25">
      <c r="A52" s="13">
        <v>51</v>
      </c>
      <c r="B52" s="14">
        <v>86143</v>
      </c>
      <c r="C52" s="14">
        <v>39</v>
      </c>
      <c r="D52" s="15" t="s">
        <v>125</v>
      </c>
      <c r="E52" s="15" t="s">
        <v>42</v>
      </c>
      <c r="F52" s="14">
        <v>4</v>
      </c>
      <c r="G52" s="15" t="s">
        <v>16</v>
      </c>
      <c r="H52" s="15" t="s">
        <v>126</v>
      </c>
      <c r="I52" s="15"/>
      <c r="J52" s="15" t="s">
        <v>126</v>
      </c>
      <c r="K52" s="16">
        <v>105.08</v>
      </c>
      <c r="N52">
        <f t="shared" si="2"/>
        <v>86143</v>
      </c>
      <c r="O52">
        <f>IF(AND(A52&gt;0,A52&lt;999),IFERROR(VLOOKUP(results0122[[#This Row],[Card]],U14M[],1,FALSE),0),0)</f>
        <v>86143</v>
      </c>
      <c r="P52">
        <f t="shared" si="3"/>
        <v>51</v>
      </c>
    </row>
    <row r="53" spans="1:16" x14ac:dyDescent="0.25">
      <c r="A53" s="17">
        <v>52</v>
      </c>
      <c r="B53" s="18">
        <v>78680</v>
      </c>
      <c r="C53" s="18">
        <v>51</v>
      </c>
      <c r="D53" s="19" t="s">
        <v>127</v>
      </c>
      <c r="E53" s="19" t="s">
        <v>22</v>
      </c>
      <c r="F53" s="18">
        <v>5</v>
      </c>
      <c r="G53" s="19" t="s">
        <v>16</v>
      </c>
      <c r="H53" s="19" t="s">
        <v>128</v>
      </c>
      <c r="I53" s="19"/>
      <c r="J53" s="19" t="s">
        <v>128</v>
      </c>
      <c r="K53" s="20">
        <v>105.96</v>
      </c>
      <c r="N53">
        <f t="shared" si="2"/>
        <v>78680</v>
      </c>
      <c r="O53">
        <f>IF(AND(A53&gt;0,A53&lt;999),IFERROR(VLOOKUP(results0122[[#This Row],[Card]],U14M[],1,FALSE),0),0)</f>
        <v>78680</v>
      </c>
      <c r="P53">
        <f t="shared" si="3"/>
        <v>52</v>
      </c>
    </row>
    <row r="54" spans="1:16" x14ac:dyDescent="0.25">
      <c r="A54" s="13">
        <v>53</v>
      </c>
      <c r="B54" s="14">
        <v>78164</v>
      </c>
      <c r="C54" s="14">
        <v>43</v>
      </c>
      <c r="D54" s="15" t="s">
        <v>129</v>
      </c>
      <c r="E54" s="15" t="s">
        <v>61</v>
      </c>
      <c r="F54" s="14">
        <v>5</v>
      </c>
      <c r="G54" s="15" t="s">
        <v>16</v>
      </c>
      <c r="H54" s="15" t="s">
        <v>130</v>
      </c>
      <c r="I54" s="15"/>
      <c r="J54" s="15" t="s">
        <v>130</v>
      </c>
      <c r="K54" s="16">
        <v>108.15</v>
      </c>
      <c r="N54">
        <f t="shared" si="2"/>
        <v>78164</v>
      </c>
      <c r="O54">
        <f>IF(AND(A54&gt;0,A54&lt;999),IFERROR(VLOOKUP(results0122[[#This Row],[Card]],U14M[],1,FALSE),0),0)</f>
        <v>78164</v>
      </c>
      <c r="P54">
        <f t="shared" si="3"/>
        <v>53</v>
      </c>
    </row>
    <row r="55" spans="1:16" x14ac:dyDescent="0.25">
      <c r="A55" s="17">
        <v>54</v>
      </c>
      <c r="B55" s="18">
        <v>81500</v>
      </c>
      <c r="C55" s="18">
        <v>49</v>
      </c>
      <c r="D55" s="19" t="s">
        <v>131</v>
      </c>
      <c r="E55" s="19" t="s">
        <v>22</v>
      </c>
      <c r="F55" s="18">
        <v>5</v>
      </c>
      <c r="G55" s="19" t="s">
        <v>16</v>
      </c>
      <c r="H55" s="19" t="s">
        <v>132</v>
      </c>
      <c r="I55" s="19"/>
      <c r="J55" s="19" t="s">
        <v>132</v>
      </c>
      <c r="K55" s="20">
        <v>109.03</v>
      </c>
      <c r="N55">
        <f t="shared" si="2"/>
        <v>81500</v>
      </c>
      <c r="O55">
        <f>IF(AND(A55&gt;0,A55&lt;999),IFERROR(VLOOKUP(results0122[[#This Row],[Card]],U14M[],1,FALSE),0),0)</f>
        <v>81500</v>
      </c>
      <c r="P55">
        <f t="shared" si="3"/>
        <v>54</v>
      </c>
    </row>
    <row r="56" spans="1:16" x14ac:dyDescent="0.25">
      <c r="A56" s="13">
        <v>55</v>
      </c>
      <c r="B56" s="14">
        <v>78610</v>
      </c>
      <c r="C56" s="14">
        <v>29</v>
      </c>
      <c r="D56" s="15" t="s">
        <v>133</v>
      </c>
      <c r="E56" s="15" t="s">
        <v>15</v>
      </c>
      <c r="F56" s="14">
        <v>5</v>
      </c>
      <c r="G56" s="15" t="s">
        <v>16</v>
      </c>
      <c r="H56" s="15" t="s">
        <v>134</v>
      </c>
      <c r="I56" s="15"/>
      <c r="J56" s="15" t="s">
        <v>134</v>
      </c>
      <c r="K56" s="16">
        <v>110.35</v>
      </c>
      <c r="N56">
        <f t="shared" si="2"/>
        <v>78610</v>
      </c>
      <c r="O56">
        <f>IF(AND(A56&gt;0,A56&lt;999),IFERROR(VLOOKUP(results0122[[#This Row],[Card]],U14M[],1,FALSE),0),0)</f>
        <v>78610</v>
      </c>
      <c r="P56">
        <f t="shared" si="3"/>
        <v>55</v>
      </c>
    </row>
    <row r="57" spans="1:16" x14ac:dyDescent="0.25">
      <c r="A57" s="17">
        <v>56</v>
      </c>
      <c r="B57" s="18">
        <v>80682</v>
      </c>
      <c r="C57" s="18">
        <v>27</v>
      </c>
      <c r="D57" s="19" t="s">
        <v>135</v>
      </c>
      <c r="E57" s="19" t="s">
        <v>15</v>
      </c>
      <c r="F57" s="18">
        <v>4</v>
      </c>
      <c r="G57" s="19" t="s">
        <v>16</v>
      </c>
      <c r="H57" s="19" t="s">
        <v>136</v>
      </c>
      <c r="I57" s="19"/>
      <c r="J57" s="19" t="s">
        <v>136</v>
      </c>
      <c r="K57" s="20">
        <v>111.01</v>
      </c>
      <c r="N57">
        <f t="shared" si="2"/>
        <v>80682</v>
      </c>
      <c r="O57">
        <f>IF(AND(A57&gt;0,A57&lt;999),IFERROR(VLOOKUP(results0122[[#This Row],[Card]],U14M[],1,FALSE),0),0)</f>
        <v>80682</v>
      </c>
      <c r="P57">
        <f t="shared" si="3"/>
        <v>56</v>
      </c>
    </row>
    <row r="58" spans="1:16" x14ac:dyDescent="0.25">
      <c r="A58" s="13">
        <v>56</v>
      </c>
      <c r="B58" s="14">
        <v>82328</v>
      </c>
      <c r="C58" s="14">
        <v>26</v>
      </c>
      <c r="D58" s="15" t="s">
        <v>137</v>
      </c>
      <c r="E58" s="15" t="s">
        <v>15</v>
      </c>
      <c r="F58" s="14">
        <v>4</v>
      </c>
      <c r="G58" s="15" t="s">
        <v>16</v>
      </c>
      <c r="H58" s="15" t="s">
        <v>136</v>
      </c>
      <c r="I58" s="15"/>
      <c r="J58" s="15" t="s">
        <v>136</v>
      </c>
      <c r="K58" s="16">
        <v>111.01</v>
      </c>
      <c r="N58">
        <f t="shared" si="2"/>
        <v>82328</v>
      </c>
      <c r="O58">
        <f>IF(AND(A58&gt;0,A58&lt;999),IFERROR(VLOOKUP(results0122[[#This Row],[Card]],U14M[],1,FALSE),0),0)</f>
        <v>82328</v>
      </c>
      <c r="P58">
        <f t="shared" si="3"/>
        <v>56</v>
      </c>
    </row>
    <row r="59" spans="1:16" x14ac:dyDescent="0.25">
      <c r="A59" s="17">
        <v>58</v>
      </c>
      <c r="B59" s="18">
        <v>78181</v>
      </c>
      <c r="C59" s="18">
        <v>61</v>
      </c>
      <c r="D59" s="19" t="s">
        <v>138</v>
      </c>
      <c r="E59" s="19" t="s">
        <v>61</v>
      </c>
      <c r="F59" s="18">
        <v>4</v>
      </c>
      <c r="G59" s="19" t="s">
        <v>16</v>
      </c>
      <c r="H59" s="19" t="s">
        <v>139</v>
      </c>
      <c r="I59" s="19"/>
      <c r="J59" s="19" t="s">
        <v>139</v>
      </c>
      <c r="K59" s="20">
        <v>112.1</v>
      </c>
      <c r="N59">
        <f t="shared" si="2"/>
        <v>78181</v>
      </c>
      <c r="O59">
        <f>IF(AND(A59&gt;0,A59&lt;999),IFERROR(VLOOKUP(results0122[[#This Row],[Card]],U14M[],1,FALSE),0),0)</f>
        <v>78181</v>
      </c>
      <c r="P59">
        <f t="shared" si="3"/>
        <v>58</v>
      </c>
    </row>
    <row r="60" spans="1:16" x14ac:dyDescent="0.25">
      <c r="A60" s="13">
        <v>59</v>
      </c>
      <c r="B60" s="14">
        <v>84752</v>
      </c>
      <c r="C60" s="14">
        <v>103</v>
      </c>
      <c r="D60" s="15" t="s">
        <v>140</v>
      </c>
      <c r="E60" s="15" t="s">
        <v>15</v>
      </c>
      <c r="F60" s="14">
        <v>5</v>
      </c>
      <c r="G60" s="15" t="s">
        <v>16</v>
      </c>
      <c r="H60" s="15" t="s">
        <v>141</v>
      </c>
      <c r="I60" s="15"/>
      <c r="J60" s="15" t="s">
        <v>141</v>
      </c>
      <c r="K60" s="16">
        <v>113.64</v>
      </c>
      <c r="N60">
        <f t="shared" si="2"/>
        <v>84752</v>
      </c>
      <c r="O60">
        <f>IF(AND(A60&gt;0,A60&lt;999),IFERROR(VLOOKUP(results0122[[#This Row],[Card]],U14M[],1,FALSE),0),0)</f>
        <v>84752</v>
      </c>
      <c r="P60">
        <f t="shared" si="3"/>
        <v>59</v>
      </c>
    </row>
    <row r="61" spans="1:16" x14ac:dyDescent="0.25">
      <c r="A61" s="17">
        <v>60</v>
      </c>
      <c r="B61" s="18">
        <v>86113</v>
      </c>
      <c r="C61" s="18">
        <v>88</v>
      </c>
      <c r="D61" s="19" t="s">
        <v>142</v>
      </c>
      <c r="E61" s="19" t="s">
        <v>101</v>
      </c>
      <c r="F61" s="18">
        <v>5</v>
      </c>
      <c r="G61" s="19" t="s">
        <v>16</v>
      </c>
      <c r="H61" s="19" t="s">
        <v>143</v>
      </c>
      <c r="I61" s="19"/>
      <c r="J61" s="19" t="s">
        <v>143</v>
      </c>
      <c r="K61" s="20">
        <v>114.52</v>
      </c>
      <c r="N61">
        <f t="shared" si="2"/>
        <v>86113</v>
      </c>
      <c r="O61">
        <f>IF(AND(A61&gt;0,A61&lt;999),IFERROR(VLOOKUP(results0122[[#This Row],[Card]],U14M[],1,FALSE),0),0)</f>
        <v>86113</v>
      </c>
      <c r="P61">
        <f t="shared" si="3"/>
        <v>60</v>
      </c>
    </row>
    <row r="62" spans="1:16" x14ac:dyDescent="0.25">
      <c r="A62" s="13">
        <v>61</v>
      </c>
      <c r="B62" s="14">
        <v>80629</v>
      </c>
      <c r="C62" s="14">
        <v>44</v>
      </c>
      <c r="D62" s="15" t="s">
        <v>144</v>
      </c>
      <c r="E62" s="15" t="s">
        <v>19</v>
      </c>
      <c r="F62" s="14">
        <v>5</v>
      </c>
      <c r="G62" s="15" t="s">
        <v>16</v>
      </c>
      <c r="H62" s="15" t="s">
        <v>145</v>
      </c>
      <c r="I62" s="15"/>
      <c r="J62" s="15" t="s">
        <v>145</v>
      </c>
      <c r="K62" s="16">
        <v>114.73</v>
      </c>
      <c r="N62">
        <f t="shared" si="2"/>
        <v>80629</v>
      </c>
      <c r="O62">
        <f>IF(AND(A62&gt;0,A62&lt;999),IFERROR(VLOOKUP(results0122[[#This Row],[Card]],U14M[],1,FALSE),0),0)</f>
        <v>80629</v>
      </c>
      <c r="P62">
        <f t="shared" si="3"/>
        <v>61</v>
      </c>
    </row>
    <row r="63" spans="1:16" x14ac:dyDescent="0.25">
      <c r="A63" s="17">
        <v>62</v>
      </c>
      <c r="B63" s="18">
        <v>81879</v>
      </c>
      <c r="C63" s="18">
        <v>55</v>
      </c>
      <c r="D63" s="19" t="s">
        <v>146</v>
      </c>
      <c r="E63" s="19" t="s">
        <v>22</v>
      </c>
      <c r="F63" s="18">
        <v>5</v>
      </c>
      <c r="G63" s="19" t="s">
        <v>16</v>
      </c>
      <c r="H63" s="19" t="s">
        <v>147</v>
      </c>
      <c r="I63" s="19"/>
      <c r="J63" s="19" t="s">
        <v>147</v>
      </c>
      <c r="K63" s="20">
        <v>116.05</v>
      </c>
      <c r="N63">
        <f t="shared" si="2"/>
        <v>81879</v>
      </c>
      <c r="O63">
        <f>IF(AND(A63&gt;0,A63&lt;999),IFERROR(VLOOKUP(results0122[[#This Row],[Card]],U14M[],1,FALSE),0),0)</f>
        <v>81879</v>
      </c>
      <c r="P63">
        <f t="shared" si="3"/>
        <v>62</v>
      </c>
    </row>
    <row r="64" spans="1:16" x14ac:dyDescent="0.25">
      <c r="A64" s="13">
        <v>63</v>
      </c>
      <c r="B64" s="14">
        <v>80690</v>
      </c>
      <c r="C64" s="14">
        <v>101</v>
      </c>
      <c r="D64" s="15" t="s">
        <v>148</v>
      </c>
      <c r="E64" s="15" t="s">
        <v>31</v>
      </c>
      <c r="F64" s="14">
        <v>5</v>
      </c>
      <c r="G64" s="15" t="s">
        <v>16</v>
      </c>
      <c r="H64" s="15" t="s">
        <v>149</v>
      </c>
      <c r="I64" s="15"/>
      <c r="J64" s="15" t="s">
        <v>149</v>
      </c>
      <c r="K64" s="16">
        <v>123.95</v>
      </c>
      <c r="N64">
        <f t="shared" si="2"/>
        <v>80690</v>
      </c>
      <c r="O64">
        <f>IF(AND(A64&gt;0,A64&lt;999),IFERROR(VLOOKUP(results0122[[#This Row],[Card]],U14M[],1,FALSE),0),0)</f>
        <v>80690</v>
      </c>
      <c r="P64">
        <f t="shared" si="3"/>
        <v>63</v>
      </c>
    </row>
    <row r="65" spans="1:16" x14ac:dyDescent="0.25">
      <c r="A65" s="17">
        <v>64</v>
      </c>
      <c r="B65" s="18">
        <v>85566</v>
      </c>
      <c r="C65" s="18">
        <v>56</v>
      </c>
      <c r="D65" s="19" t="s">
        <v>150</v>
      </c>
      <c r="E65" s="19" t="s">
        <v>117</v>
      </c>
      <c r="F65" s="18">
        <v>5</v>
      </c>
      <c r="G65" s="19" t="s">
        <v>16</v>
      </c>
      <c r="H65" s="19" t="s">
        <v>151</v>
      </c>
      <c r="I65" s="19"/>
      <c r="J65" s="19" t="s">
        <v>151</v>
      </c>
      <c r="K65" s="20">
        <v>127.24</v>
      </c>
      <c r="N65">
        <f t="shared" si="2"/>
        <v>85566</v>
      </c>
      <c r="O65">
        <f>IF(AND(A65&gt;0,A65&lt;999),IFERROR(VLOOKUP(results0122[[#This Row],[Card]],U14M[],1,FALSE),0),0)</f>
        <v>85566</v>
      </c>
      <c r="P65">
        <f t="shared" si="3"/>
        <v>64</v>
      </c>
    </row>
    <row r="66" spans="1:16" x14ac:dyDescent="0.25">
      <c r="A66" s="13">
        <v>65</v>
      </c>
      <c r="B66" s="14">
        <v>80714</v>
      </c>
      <c r="C66" s="14">
        <v>50</v>
      </c>
      <c r="D66" s="15" t="s">
        <v>152</v>
      </c>
      <c r="E66" s="15" t="s">
        <v>22</v>
      </c>
      <c r="F66" s="14">
        <v>5</v>
      </c>
      <c r="G66" s="15" t="s">
        <v>16</v>
      </c>
      <c r="H66" s="15" t="s">
        <v>153</v>
      </c>
      <c r="I66" s="15"/>
      <c r="J66" s="15" t="s">
        <v>153</v>
      </c>
      <c r="K66" s="16">
        <v>130.75</v>
      </c>
      <c r="N66">
        <f t="shared" ref="N66:N97" si="4">B66</f>
        <v>80714</v>
      </c>
      <c r="O66">
        <f>IF(AND(A66&gt;0,A66&lt;999),IFERROR(VLOOKUP(results0122[[#This Row],[Card]],U14M[],1,FALSE),0),0)</f>
        <v>80714</v>
      </c>
      <c r="P66">
        <f t="shared" ref="P66:P97" si="5">A66</f>
        <v>65</v>
      </c>
    </row>
    <row r="67" spans="1:16" x14ac:dyDescent="0.25">
      <c r="A67" s="17">
        <v>65</v>
      </c>
      <c r="B67" s="18">
        <v>77214</v>
      </c>
      <c r="C67" s="18">
        <v>42</v>
      </c>
      <c r="D67" s="19" t="s">
        <v>154</v>
      </c>
      <c r="E67" s="19" t="s">
        <v>155</v>
      </c>
      <c r="F67" s="18">
        <v>5</v>
      </c>
      <c r="G67" s="19" t="s">
        <v>16</v>
      </c>
      <c r="H67" s="19" t="s">
        <v>153</v>
      </c>
      <c r="I67" s="19"/>
      <c r="J67" s="19" t="s">
        <v>153</v>
      </c>
      <c r="K67" s="20">
        <v>130.75</v>
      </c>
      <c r="N67">
        <f t="shared" si="4"/>
        <v>77214</v>
      </c>
      <c r="O67">
        <f>IF(AND(A67&gt;0,A67&lt;999),IFERROR(VLOOKUP(results0122[[#This Row],[Card]],U14M[],1,FALSE),0),0)</f>
        <v>77214</v>
      </c>
      <c r="P67">
        <f t="shared" si="5"/>
        <v>65</v>
      </c>
    </row>
    <row r="68" spans="1:16" x14ac:dyDescent="0.25">
      <c r="A68" s="13">
        <v>67</v>
      </c>
      <c r="B68" s="14">
        <v>78398</v>
      </c>
      <c r="C68" s="14">
        <v>46</v>
      </c>
      <c r="D68" s="15" t="s">
        <v>156</v>
      </c>
      <c r="E68" s="15" t="s">
        <v>19</v>
      </c>
      <c r="F68" s="14">
        <v>4</v>
      </c>
      <c r="G68" s="15" t="s">
        <v>16</v>
      </c>
      <c r="H68" s="15" t="s">
        <v>157</v>
      </c>
      <c r="I68" s="15"/>
      <c r="J68" s="15" t="s">
        <v>157</v>
      </c>
      <c r="K68" s="16">
        <v>131.85</v>
      </c>
      <c r="N68">
        <f t="shared" si="4"/>
        <v>78398</v>
      </c>
      <c r="O68">
        <f>IF(AND(A68&gt;0,A68&lt;999),IFERROR(VLOOKUP(results0122[[#This Row],[Card]],U14M[],1,FALSE),0),0)</f>
        <v>78398</v>
      </c>
      <c r="P68">
        <f t="shared" si="5"/>
        <v>67</v>
      </c>
    </row>
    <row r="69" spans="1:16" x14ac:dyDescent="0.25">
      <c r="A69" s="17">
        <v>68</v>
      </c>
      <c r="B69" s="18">
        <v>80662</v>
      </c>
      <c r="C69" s="18">
        <v>60</v>
      </c>
      <c r="D69" s="19" t="s">
        <v>158</v>
      </c>
      <c r="E69" s="19" t="s">
        <v>61</v>
      </c>
      <c r="F69" s="18">
        <v>4</v>
      </c>
      <c r="G69" s="19" t="s">
        <v>16</v>
      </c>
      <c r="H69" s="19" t="s">
        <v>159</v>
      </c>
      <c r="I69" s="19"/>
      <c r="J69" s="19" t="s">
        <v>159</v>
      </c>
      <c r="K69" s="20">
        <v>134.47999999999999</v>
      </c>
      <c r="N69">
        <f t="shared" si="4"/>
        <v>80662</v>
      </c>
      <c r="O69">
        <f>IF(AND(A69&gt;0,A69&lt;999),IFERROR(VLOOKUP(results0122[[#This Row],[Card]],U14M[],1,FALSE),0),0)</f>
        <v>80662</v>
      </c>
      <c r="P69">
        <f t="shared" si="5"/>
        <v>68</v>
      </c>
    </row>
    <row r="70" spans="1:16" x14ac:dyDescent="0.25">
      <c r="A70" s="13">
        <v>69</v>
      </c>
      <c r="B70" s="14">
        <v>81740</v>
      </c>
      <c r="C70" s="14">
        <v>87</v>
      </c>
      <c r="D70" s="15" t="s">
        <v>160</v>
      </c>
      <c r="E70" s="15" t="s">
        <v>31</v>
      </c>
      <c r="F70" s="14">
        <v>4</v>
      </c>
      <c r="G70" s="15" t="s">
        <v>16</v>
      </c>
      <c r="H70" s="15" t="s">
        <v>161</v>
      </c>
      <c r="I70" s="15"/>
      <c r="J70" s="15" t="s">
        <v>161</v>
      </c>
      <c r="K70" s="16">
        <v>137.99</v>
      </c>
      <c r="N70">
        <f t="shared" si="4"/>
        <v>81740</v>
      </c>
      <c r="O70">
        <f>IF(AND(A70&gt;0,A70&lt;999),IFERROR(VLOOKUP(results0122[[#This Row],[Card]],U14M[],1,FALSE),0),0)</f>
        <v>81740</v>
      </c>
      <c r="P70">
        <f t="shared" si="5"/>
        <v>69</v>
      </c>
    </row>
    <row r="71" spans="1:16" x14ac:dyDescent="0.25">
      <c r="A71" s="17">
        <v>70</v>
      </c>
      <c r="B71" s="18">
        <v>80605</v>
      </c>
      <c r="C71" s="18">
        <v>4</v>
      </c>
      <c r="D71" s="19" t="s">
        <v>162</v>
      </c>
      <c r="E71" s="19" t="s">
        <v>163</v>
      </c>
      <c r="F71" s="18">
        <v>5</v>
      </c>
      <c r="G71" s="19" t="s">
        <v>16</v>
      </c>
      <c r="H71" s="19" t="s">
        <v>164</v>
      </c>
      <c r="I71" s="19"/>
      <c r="J71" s="19" t="s">
        <v>164</v>
      </c>
      <c r="K71" s="20">
        <v>143.03</v>
      </c>
      <c r="N71">
        <f t="shared" si="4"/>
        <v>80605</v>
      </c>
      <c r="O71">
        <f>IF(AND(A71&gt;0,A71&lt;999),IFERROR(VLOOKUP(results0122[[#This Row],[Card]],U14M[],1,FALSE),0),0)</f>
        <v>80605</v>
      </c>
      <c r="P71">
        <f t="shared" si="5"/>
        <v>70</v>
      </c>
    </row>
    <row r="72" spans="1:16" x14ac:dyDescent="0.25">
      <c r="A72" s="13">
        <v>71</v>
      </c>
      <c r="B72" s="14">
        <v>81705</v>
      </c>
      <c r="C72" s="14">
        <v>72</v>
      </c>
      <c r="D72" s="15" t="s">
        <v>165</v>
      </c>
      <c r="E72" s="15" t="s">
        <v>31</v>
      </c>
      <c r="F72" s="14">
        <v>4</v>
      </c>
      <c r="G72" s="15" t="s">
        <v>16</v>
      </c>
      <c r="H72" s="15" t="s">
        <v>166</v>
      </c>
      <c r="I72" s="15"/>
      <c r="J72" s="15" t="s">
        <v>166</v>
      </c>
      <c r="K72" s="16">
        <v>144.35</v>
      </c>
      <c r="N72">
        <f t="shared" si="4"/>
        <v>81705</v>
      </c>
      <c r="O72">
        <f>IF(AND(A72&gt;0,A72&lt;999),IFERROR(VLOOKUP(results0122[[#This Row],[Card]],U14M[],1,FALSE),0),0)</f>
        <v>81705</v>
      </c>
      <c r="P72">
        <f t="shared" si="5"/>
        <v>71</v>
      </c>
    </row>
    <row r="73" spans="1:16" x14ac:dyDescent="0.25">
      <c r="A73" s="17">
        <v>72</v>
      </c>
      <c r="B73" s="18">
        <v>80724</v>
      </c>
      <c r="C73" s="18">
        <v>59</v>
      </c>
      <c r="D73" s="19" t="s">
        <v>167</v>
      </c>
      <c r="E73" s="19" t="s">
        <v>22</v>
      </c>
      <c r="F73" s="18">
        <v>4</v>
      </c>
      <c r="G73" s="19" t="s">
        <v>16</v>
      </c>
      <c r="H73" s="19" t="s">
        <v>168</v>
      </c>
      <c r="I73" s="19"/>
      <c r="J73" s="19" t="s">
        <v>168</v>
      </c>
      <c r="K73" s="20">
        <v>145.01</v>
      </c>
      <c r="N73">
        <f t="shared" si="4"/>
        <v>80724</v>
      </c>
      <c r="O73">
        <f>IF(AND(A73&gt;0,A73&lt;999),IFERROR(VLOOKUP(results0122[[#This Row],[Card]],U14M[],1,FALSE),0),0)</f>
        <v>80724</v>
      </c>
      <c r="P73">
        <f t="shared" si="5"/>
        <v>72</v>
      </c>
    </row>
    <row r="74" spans="1:16" x14ac:dyDescent="0.25">
      <c r="A74" s="13">
        <v>73</v>
      </c>
      <c r="B74" s="14">
        <v>84722</v>
      </c>
      <c r="C74" s="14">
        <v>53</v>
      </c>
      <c r="D74" s="15" t="s">
        <v>169</v>
      </c>
      <c r="E74" s="15" t="s">
        <v>61</v>
      </c>
      <c r="F74" s="14">
        <v>4</v>
      </c>
      <c r="G74" s="15" t="s">
        <v>16</v>
      </c>
      <c r="H74" s="15" t="s">
        <v>170</v>
      </c>
      <c r="I74" s="15"/>
      <c r="J74" s="15" t="s">
        <v>170</v>
      </c>
      <c r="K74" s="16">
        <v>145.22999999999999</v>
      </c>
      <c r="N74">
        <f t="shared" si="4"/>
        <v>84722</v>
      </c>
      <c r="O74">
        <f>IF(AND(A74&gt;0,A74&lt;999),IFERROR(VLOOKUP(results0122[[#This Row],[Card]],U14M[],1,FALSE),0),0)</f>
        <v>84722</v>
      </c>
      <c r="P74">
        <f t="shared" si="5"/>
        <v>73</v>
      </c>
    </row>
    <row r="75" spans="1:16" x14ac:dyDescent="0.25">
      <c r="A75" s="17">
        <v>74</v>
      </c>
      <c r="B75" s="18">
        <v>81455</v>
      </c>
      <c r="C75" s="18">
        <v>89</v>
      </c>
      <c r="D75" s="19" t="s">
        <v>171</v>
      </c>
      <c r="E75" s="19" t="s">
        <v>19</v>
      </c>
      <c r="F75" s="18">
        <v>5</v>
      </c>
      <c r="G75" s="19" t="s">
        <v>16</v>
      </c>
      <c r="H75" s="19" t="s">
        <v>172</v>
      </c>
      <c r="I75" s="19"/>
      <c r="J75" s="19" t="s">
        <v>172</v>
      </c>
      <c r="K75" s="20">
        <v>152.47</v>
      </c>
      <c r="N75">
        <f t="shared" si="4"/>
        <v>81455</v>
      </c>
      <c r="O75">
        <f>IF(AND(A75&gt;0,A75&lt;999),IFERROR(VLOOKUP(results0122[[#This Row],[Card]],U14M[],1,FALSE),0),0)</f>
        <v>81455</v>
      </c>
      <c r="P75">
        <f t="shared" si="5"/>
        <v>74</v>
      </c>
    </row>
    <row r="76" spans="1:16" x14ac:dyDescent="0.25">
      <c r="A76" s="13">
        <v>75</v>
      </c>
      <c r="B76" s="14">
        <v>84692</v>
      </c>
      <c r="C76" s="14">
        <v>83</v>
      </c>
      <c r="D76" s="15" t="s">
        <v>173</v>
      </c>
      <c r="E76" s="15" t="s">
        <v>22</v>
      </c>
      <c r="F76" s="14">
        <v>4</v>
      </c>
      <c r="G76" s="15" t="s">
        <v>16</v>
      </c>
      <c r="H76" s="15" t="s">
        <v>174</v>
      </c>
      <c r="I76" s="15"/>
      <c r="J76" s="15" t="s">
        <v>174</v>
      </c>
      <c r="K76" s="16">
        <v>154.66</v>
      </c>
      <c r="N76">
        <f t="shared" si="4"/>
        <v>84692</v>
      </c>
      <c r="O76">
        <f>IF(AND(A76&gt;0,A76&lt;999),IFERROR(VLOOKUP(results0122[[#This Row],[Card]],U14M[],1,FALSE),0),0)</f>
        <v>84692</v>
      </c>
      <c r="P76">
        <f t="shared" si="5"/>
        <v>75</v>
      </c>
    </row>
    <row r="77" spans="1:16" x14ac:dyDescent="0.25">
      <c r="A77" s="17">
        <v>76</v>
      </c>
      <c r="B77" s="18">
        <v>82403</v>
      </c>
      <c r="C77" s="18">
        <v>92</v>
      </c>
      <c r="D77" s="19" t="s">
        <v>175</v>
      </c>
      <c r="E77" s="19" t="s">
        <v>19</v>
      </c>
      <c r="F77" s="18">
        <v>5</v>
      </c>
      <c r="G77" s="19" t="s">
        <v>16</v>
      </c>
      <c r="H77" s="19" t="s">
        <v>176</v>
      </c>
      <c r="I77" s="19"/>
      <c r="J77" s="19" t="s">
        <v>176</v>
      </c>
      <c r="K77" s="20">
        <v>159.05000000000001</v>
      </c>
      <c r="N77">
        <f t="shared" si="4"/>
        <v>82403</v>
      </c>
      <c r="O77">
        <f>IF(AND(A77&gt;0,A77&lt;999),IFERROR(VLOOKUP(results0122[[#This Row],[Card]],U14M[],1,FALSE),0),0)</f>
        <v>82403</v>
      </c>
      <c r="P77">
        <f t="shared" si="5"/>
        <v>76</v>
      </c>
    </row>
    <row r="78" spans="1:16" x14ac:dyDescent="0.25">
      <c r="A78" s="13">
        <v>77</v>
      </c>
      <c r="B78" s="14">
        <v>81139</v>
      </c>
      <c r="C78" s="14">
        <v>58</v>
      </c>
      <c r="D78" s="15" t="s">
        <v>177</v>
      </c>
      <c r="E78" s="15" t="s">
        <v>22</v>
      </c>
      <c r="F78" s="14">
        <v>4</v>
      </c>
      <c r="G78" s="15" t="s">
        <v>16</v>
      </c>
      <c r="H78" s="15" t="s">
        <v>178</v>
      </c>
      <c r="I78" s="15"/>
      <c r="J78" s="15" t="s">
        <v>178</v>
      </c>
      <c r="K78" s="16">
        <v>163.44</v>
      </c>
      <c r="N78">
        <f t="shared" si="4"/>
        <v>81139</v>
      </c>
      <c r="O78">
        <f>IF(AND(A78&gt;0,A78&lt;999),IFERROR(VLOOKUP(results0122[[#This Row],[Card]],U14M[],1,FALSE),0),0)</f>
        <v>81139</v>
      </c>
      <c r="P78">
        <f t="shared" si="5"/>
        <v>77</v>
      </c>
    </row>
    <row r="79" spans="1:16" x14ac:dyDescent="0.25">
      <c r="A79" s="17">
        <v>78</v>
      </c>
      <c r="B79" s="18">
        <v>87999</v>
      </c>
      <c r="C79" s="18">
        <v>99</v>
      </c>
      <c r="D79" s="19" t="s">
        <v>179</v>
      </c>
      <c r="E79" s="19" t="s">
        <v>19</v>
      </c>
      <c r="F79" s="18">
        <v>5</v>
      </c>
      <c r="G79" s="19" t="s">
        <v>16</v>
      </c>
      <c r="H79" s="19" t="s">
        <v>180</v>
      </c>
      <c r="I79" s="19"/>
      <c r="J79" s="19" t="s">
        <v>180</v>
      </c>
      <c r="K79" s="20">
        <v>165.41</v>
      </c>
      <c r="N79">
        <f t="shared" si="4"/>
        <v>87999</v>
      </c>
      <c r="O79">
        <f>IF(AND(A79&gt;0,A79&lt;999),IFERROR(VLOOKUP(results0122[[#This Row],[Card]],U14M[],1,FALSE),0),0)</f>
        <v>87999</v>
      </c>
      <c r="P79">
        <f t="shared" si="5"/>
        <v>78</v>
      </c>
    </row>
    <row r="80" spans="1:16" x14ac:dyDescent="0.25">
      <c r="A80" s="13">
        <v>78</v>
      </c>
      <c r="B80" s="14">
        <v>88381</v>
      </c>
      <c r="C80" s="14">
        <v>86</v>
      </c>
      <c r="D80" s="15" t="s">
        <v>181</v>
      </c>
      <c r="E80" s="15" t="s">
        <v>47</v>
      </c>
      <c r="F80" s="14">
        <v>5</v>
      </c>
      <c r="G80" s="15" t="s">
        <v>16</v>
      </c>
      <c r="H80" s="15" t="s">
        <v>180</v>
      </c>
      <c r="I80" s="15"/>
      <c r="J80" s="15" t="s">
        <v>180</v>
      </c>
      <c r="K80" s="16">
        <v>165.41</v>
      </c>
      <c r="N80">
        <f t="shared" si="4"/>
        <v>88381</v>
      </c>
      <c r="O80">
        <f>IF(AND(A80&gt;0,A80&lt;999),IFERROR(VLOOKUP(results0122[[#This Row],[Card]],U14M[],1,FALSE),0),0)</f>
        <v>88381</v>
      </c>
      <c r="P80">
        <f t="shared" si="5"/>
        <v>78</v>
      </c>
    </row>
    <row r="81" spans="1:16" x14ac:dyDescent="0.25">
      <c r="A81" s="17">
        <v>80</v>
      </c>
      <c r="B81" s="18">
        <v>81481</v>
      </c>
      <c r="C81" s="18">
        <v>79</v>
      </c>
      <c r="D81" s="19" t="s">
        <v>182</v>
      </c>
      <c r="E81" s="19" t="s">
        <v>31</v>
      </c>
      <c r="F81" s="18">
        <v>4</v>
      </c>
      <c r="G81" s="19" t="s">
        <v>16</v>
      </c>
      <c r="H81" s="19" t="s">
        <v>183</v>
      </c>
      <c r="I81" s="19"/>
      <c r="J81" s="19" t="s">
        <v>183</v>
      </c>
      <c r="K81" s="20">
        <v>165.63</v>
      </c>
      <c r="N81">
        <f t="shared" si="4"/>
        <v>81481</v>
      </c>
      <c r="O81">
        <f>IF(AND(A81&gt;0,A81&lt;999),IFERROR(VLOOKUP(results0122[[#This Row],[Card]],U14M[],1,FALSE),0),0)</f>
        <v>81481</v>
      </c>
      <c r="P81">
        <f t="shared" si="5"/>
        <v>80</v>
      </c>
    </row>
    <row r="82" spans="1:16" x14ac:dyDescent="0.25">
      <c r="A82" s="13">
        <v>81</v>
      </c>
      <c r="B82" s="14">
        <v>81736</v>
      </c>
      <c r="C82" s="14">
        <v>91</v>
      </c>
      <c r="D82" s="15" t="s">
        <v>184</v>
      </c>
      <c r="E82" s="15" t="s">
        <v>31</v>
      </c>
      <c r="F82" s="14">
        <v>4</v>
      </c>
      <c r="G82" s="15" t="s">
        <v>16</v>
      </c>
      <c r="H82" s="15" t="s">
        <v>185</v>
      </c>
      <c r="I82" s="15"/>
      <c r="J82" s="15" t="s">
        <v>185</v>
      </c>
      <c r="K82" s="16">
        <v>176.82</v>
      </c>
      <c r="N82">
        <f t="shared" si="4"/>
        <v>81736</v>
      </c>
      <c r="O82">
        <f>IF(AND(A82&gt;0,A82&lt;999),IFERROR(VLOOKUP(results0122[[#This Row],[Card]],U14M[],1,FALSE),0),0)</f>
        <v>81736</v>
      </c>
      <c r="P82">
        <f t="shared" si="5"/>
        <v>81</v>
      </c>
    </row>
    <row r="83" spans="1:16" x14ac:dyDescent="0.25">
      <c r="A83" s="17">
        <v>82</v>
      </c>
      <c r="B83" s="18">
        <v>76510</v>
      </c>
      <c r="C83" s="18">
        <v>84</v>
      </c>
      <c r="D83" s="19" t="s">
        <v>186</v>
      </c>
      <c r="E83" s="19" t="s">
        <v>38</v>
      </c>
      <c r="F83" s="18">
        <v>4</v>
      </c>
      <c r="G83" s="19" t="s">
        <v>16</v>
      </c>
      <c r="H83" s="19" t="s">
        <v>187</v>
      </c>
      <c r="I83" s="19"/>
      <c r="J83" s="19" t="s">
        <v>187</v>
      </c>
      <c r="K83" s="20">
        <v>179.23</v>
      </c>
      <c r="N83">
        <f t="shared" si="4"/>
        <v>76510</v>
      </c>
      <c r="O83">
        <f>IF(AND(A83&gt;0,A83&lt;999),IFERROR(VLOOKUP(results0122[[#This Row],[Card]],U14M[],1,FALSE),0),0)</f>
        <v>76510</v>
      </c>
      <c r="P83">
        <f t="shared" si="5"/>
        <v>82</v>
      </c>
    </row>
    <row r="84" spans="1:16" x14ac:dyDescent="0.25">
      <c r="A84" s="13">
        <v>83</v>
      </c>
      <c r="B84" s="14">
        <v>80630</v>
      </c>
      <c r="C84" s="14">
        <v>82</v>
      </c>
      <c r="D84" s="15" t="s">
        <v>188</v>
      </c>
      <c r="E84" s="15" t="s">
        <v>19</v>
      </c>
      <c r="F84" s="14">
        <v>4</v>
      </c>
      <c r="G84" s="15" t="s">
        <v>16</v>
      </c>
      <c r="H84" s="15" t="s">
        <v>189</v>
      </c>
      <c r="I84" s="15"/>
      <c r="J84" s="15" t="s">
        <v>189</v>
      </c>
      <c r="K84" s="16">
        <v>180.77</v>
      </c>
      <c r="N84">
        <f t="shared" si="4"/>
        <v>80630</v>
      </c>
      <c r="O84">
        <f>IF(AND(A84&gt;0,A84&lt;999),IFERROR(VLOOKUP(results0122[[#This Row],[Card]],U14M[],1,FALSE),0),0)</f>
        <v>80630</v>
      </c>
      <c r="P84">
        <f t="shared" si="5"/>
        <v>83</v>
      </c>
    </row>
    <row r="85" spans="1:16" x14ac:dyDescent="0.25">
      <c r="A85" s="17">
        <v>83</v>
      </c>
      <c r="B85" s="18">
        <v>82224</v>
      </c>
      <c r="C85" s="18">
        <v>78</v>
      </c>
      <c r="D85" s="19" t="s">
        <v>190</v>
      </c>
      <c r="E85" s="19" t="s">
        <v>101</v>
      </c>
      <c r="F85" s="18">
        <v>4</v>
      </c>
      <c r="G85" s="19" t="s">
        <v>16</v>
      </c>
      <c r="H85" s="19" t="s">
        <v>189</v>
      </c>
      <c r="I85" s="19"/>
      <c r="J85" s="19" t="s">
        <v>189</v>
      </c>
      <c r="K85" s="20">
        <v>180.77</v>
      </c>
      <c r="N85">
        <f t="shared" si="4"/>
        <v>82224</v>
      </c>
      <c r="O85">
        <f>IF(AND(A85&gt;0,A85&lt;999),IFERROR(VLOOKUP(results0122[[#This Row],[Card]],U14M[],1,FALSE),0),0)</f>
        <v>82224</v>
      </c>
      <c r="P85">
        <f t="shared" si="5"/>
        <v>83</v>
      </c>
    </row>
    <row r="86" spans="1:16" x14ac:dyDescent="0.25">
      <c r="A86" s="13">
        <v>83</v>
      </c>
      <c r="B86" s="14">
        <v>79148</v>
      </c>
      <c r="C86" s="14">
        <v>77</v>
      </c>
      <c r="D86" s="15" t="s">
        <v>191</v>
      </c>
      <c r="E86" s="15" t="s">
        <v>31</v>
      </c>
      <c r="F86" s="14">
        <v>4</v>
      </c>
      <c r="G86" s="15" t="s">
        <v>16</v>
      </c>
      <c r="H86" s="15" t="s">
        <v>189</v>
      </c>
      <c r="I86" s="15"/>
      <c r="J86" s="15" t="s">
        <v>189</v>
      </c>
      <c r="K86" s="16">
        <v>180.77</v>
      </c>
      <c r="N86">
        <f t="shared" si="4"/>
        <v>79148</v>
      </c>
      <c r="O86">
        <f>IF(AND(A86&gt;0,A86&lt;999),IFERROR(VLOOKUP(results0122[[#This Row],[Card]],U14M[],1,FALSE),0),0)</f>
        <v>79148</v>
      </c>
      <c r="P86">
        <f t="shared" si="5"/>
        <v>83</v>
      </c>
    </row>
    <row r="87" spans="1:16" x14ac:dyDescent="0.25">
      <c r="A87" s="17">
        <v>86</v>
      </c>
      <c r="B87" s="18">
        <v>80700</v>
      </c>
      <c r="C87" s="18">
        <v>81</v>
      </c>
      <c r="D87" s="19" t="s">
        <v>192</v>
      </c>
      <c r="E87" s="19" t="s">
        <v>31</v>
      </c>
      <c r="F87" s="18">
        <v>4</v>
      </c>
      <c r="G87" s="19" t="s">
        <v>16</v>
      </c>
      <c r="H87" s="19" t="s">
        <v>193</v>
      </c>
      <c r="I87" s="19"/>
      <c r="J87" s="19" t="s">
        <v>193</v>
      </c>
      <c r="K87" s="20">
        <v>185.37</v>
      </c>
      <c r="N87">
        <f t="shared" si="4"/>
        <v>80700</v>
      </c>
      <c r="O87">
        <f>IF(AND(A87&gt;0,A87&lt;999),IFERROR(VLOOKUP(results0122[[#This Row],[Card]],U14M[],1,FALSE),0),0)</f>
        <v>80700</v>
      </c>
      <c r="P87">
        <f t="shared" si="5"/>
        <v>86</v>
      </c>
    </row>
    <row r="88" spans="1:16" x14ac:dyDescent="0.25">
      <c r="A88" s="13">
        <v>87</v>
      </c>
      <c r="B88" s="14">
        <v>78178</v>
      </c>
      <c r="C88" s="14">
        <v>80</v>
      </c>
      <c r="D88" s="15" t="s">
        <v>194</v>
      </c>
      <c r="E88" s="15" t="s">
        <v>61</v>
      </c>
      <c r="F88" s="14">
        <v>4</v>
      </c>
      <c r="G88" s="15" t="s">
        <v>16</v>
      </c>
      <c r="H88" s="15" t="s">
        <v>195</v>
      </c>
      <c r="I88" s="15"/>
      <c r="J88" s="15" t="s">
        <v>195</v>
      </c>
      <c r="K88" s="16">
        <v>189.76</v>
      </c>
      <c r="N88">
        <f t="shared" si="4"/>
        <v>78178</v>
      </c>
      <c r="O88">
        <f>IF(AND(A88&gt;0,A88&lt;999),IFERROR(VLOOKUP(results0122[[#This Row],[Card]],U14M[],1,FALSE),0),0)</f>
        <v>78178</v>
      </c>
      <c r="P88">
        <f t="shared" si="5"/>
        <v>87</v>
      </c>
    </row>
    <row r="89" spans="1:16" x14ac:dyDescent="0.25">
      <c r="A89" s="17">
        <v>88</v>
      </c>
      <c r="B89" s="18">
        <v>85772</v>
      </c>
      <c r="C89" s="18">
        <v>100</v>
      </c>
      <c r="D89" s="19" t="s">
        <v>196</v>
      </c>
      <c r="E89" s="19" t="s">
        <v>15</v>
      </c>
      <c r="F89" s="18">
        <v>5</v>
      </c>
      <c r="G89" s="19" t="s">
        <v>16</v>
      </c>
      <c r="H89" s="19" t="s">
        <v>197</v>
      </c>
      <c r="I89" s="19"/>
      <c r="J89" s="19" t="s">
        <v>197</v>
      </c>
      <c r="K89" s="20">
        <v>201.83</v>
      </c>
      <c r="N89">
        <f t="shared" si="4"/>
        <v>85772</v>
      </c>
      <c r="O89">
        <f>IF(AND(A89&gt;0,A89&lt;999),IFERROR(VLOOKUP(results0122[[#This Row],[Card]],U14M[],1,FALSE),0),0)</f>
        <v>85772</v>
      </c>
      <c r="P89">
        <f t="shared" si="5"/>
        <v>88</v>
      </c>
    </row>
    <row r="90" spans="1:16" x14ac:dyDescent="0.25">
      <c r="A90" s="13">
        <v>89</v>
      </c>
      <c r="B90" s="14">
        <v>78783</v>
      </c>
      <c r="C90" s="14">
        <v>96</v>
      </c>
      <c r="D90" s="15" t="s">
        <v>198</v>
      </c>
      <c r="E90" s="15" t="s">
        <v>47</v>
      </c>
      <c r="F90" s="14">
        <v>5</v>
      </c>
      <c r="G90" s="15" t="s">
        <v>16</v>
      </c>
      <c r="H90" s="15" t="s">
        <v>199</v>
      </c>
      <c r="I90" s="15"/>
      <c r="J90" s="15" t="s">
        <v>199</v>
      </c>
      <c r="K90" s="16">
        <v>221.57</v>
      </c>
      <c r="N90">
        <f t="shared" si="4"/>
        <v>78783</v>
      </c>
      <c r="O90">
        <f>IF(AND(A90&gt;0,A90&lt;999),IFERROR(VLOOKUP(results0122[[#This Row],[Card]],U14M[],1,FALSE),0),0)</f>
        <v>78783</v>
      </c>
      <c r="P90">
        <f t="shared" si="5"/>
        <v>89</v>
      </c>
    </row>
    <row r="91" spans="1:16" x14ac:dyDescent="0.25">
      <c r="A91" s="17">
        <v>90</v>
      </c>
      <c r="B91" s="18">
        <v>81781</v>
      </c>
      <c r="C91" s="18">
        <v>104</v>
      </c>
      <c r="D91" s="19" t="s">
        <v>200</v>
      </c>
      <c r="E91" s="19" t="s">
        <v>38</v>
      </c>
      <c r="F91" s="18">
        <v>5</v>
      </c>
      <c r="G91" s="19" t="s">
        <v>16</v>
      </c>
      <c r="H91" s="19" t="s">
        <v>201</v>
      </c>
      <c r="I91" s="19"/>
      <c r="J91" s="19" t="s">
        <v>201</v>
      </c>
      <c r="K91" s="20">
        <v>226.18</v>
      </c>
      <c r="N91">
        <f t="shared" si="4"/>
        <v>81781</v>
      </c>
      <c r="O91">
        <f>IF(AND(A91&gt;0,A91&lt;999),IFERROR(VLOOKUP(results0122[[#This Row],[Card]],U14M[],1,FALSE),0),0)</f>
        <v>81781</v>
      </c>
      <c r="P91">
        <f t="shared" si="5"/>
        <v>90</v>
      </c>
    </row>
    <row r="92" spans="1:16" x14ac:dyDescent="0.25">
      <c r="A92" s="13">
        <v>91</v>
      </c>
      <c r="B92" s="14">
        <v>78414</v>
      </c>
      <c r="C92" s="14">
        <v>102</v>
      </c>
      <c r="D92" s="15" t="s">
        <v>202</v>
      </c>
      <c r="E92" s="15" t="s">
        <v>155</v>
      </c>
      <c r="F92" s="14">
        <v>4</v>
      </c>
      <c r="G92" s="15" t="s">
        <v>16</v>
      </c>
      <c r="H92" s="15" t="s">
        <v>203</v>
      </c>
      <c r="I92" s="15"/>
      <c r="J92" s="15" t="s">
        <v>203</v>
      </c>
      <c r="K92" s="16">
        <v>226.62</v>
      </c>
      <c r="N92">
        <f t="shared" si="4"/>
        <v>78414</v>
      </c>
      <c r="O92">
        <f>IF(AND(A92&gt;0,A92&lt;999),IFERROR(VLOOKUP(results0122[[#This Row],[Card]],U14M[],1,FALSE),0),0)</f>
        <v>78414</v>
      </c>
      <c r="P92">
        <f t="shared" si="5"/>
        <v>91</v>
      </c>
    </row>
    <row r="93" spans="1:16" x14ac:dyDescent="0.25">
      <c r="A93" s="17">
        <v>92</v>
      </c>
      <c r="B93" s="18">
        <v>82442</v>
      </c>
      <c r="C93" s="18">
        <v>57</v>
      </c>
      <c r="D93" s="19" t="s">
        <v>204</v>
      </c>
      <c r="E93" s="19" t="s">
        <v>42</v>
      </c>
      <c r="F93" s="18">
        <v>5</v>
      </c>
      <c r="G93" s="19" t="s">
        <v>16</v>
      </c>
      <c r="H93" s="19" t="s">
        <v>205</v>
      </c>
      <c r="I93" s="19"/>
      <c r="J93" s="19" t="s">
        <v>205</v>
      </c>
      <c r="K93" s="20">
        <v>253.38</v>
      </c>
      <c r="N93">
        <f t="shared" si="4"/>
        <v>82442</v>
      </c>
      <c r="O93">
        <f>IF(AND(A93&gt;0,A93&lt;999),IFERROR(VLOOKUP(results0122[[#This Row],[Card]],U14M[],1,FALSE),0),0)</f>
        <v>82442</v>
      </c>
      <c r="P93">
        <f t="shared" si="5"/>
        <v>92</v>
      </c>
    </row>
    <row r="94" spans="1:16" x14ac:dyDescent="0.25">
      <c r="A94" s="13">
        <v>93</v>
      </c>
      <c r="B94" s="14">
        <v>85950</v>
      </c>
      <c r="C94" s="14">
        <v>75</v>
      </c>
      <c r="D94" s="15" t="s">
        <v>206</v>
      </c>
      <c r="E94" s="15" t="s">
        <v>31</v>
      </c>
      <c r="F94" s="14">
        <v>4</v>
      </c>
      <c r="G94" s="15" t="s">
        <v>16</v>
      </c>
      <c r="H94" s="15" t="s">
        <v>207</v>
      </c>
      <c r="I94" s="15"/>
      <c r="J94" s="15" t="s">
        <v>207</v>
      </c>
      <c r="K94" s="16">
        <v>271.81</v>
      </c>
      <c r="N94">
        <f t="shared" si="4"/>
        <v>85950</v>
      </c>
      <c r="O94">
        <f>IF(AND(A94&gt;0,A94&lt;999),IFERROR(VLOOKUP(results0122[[#This Row],[Card]],U14M[],1,FALSE),0),0)</f>
        <v>85950</v>
      </c>
      <c r="P94">
        <f t="shared" si="5"/>
        <v>93</v>
      </c>
    </row>
    <row r="95" spans="1:16" x14ac:dyDescent="0.25">
      <c r="A95" s="17">
        <v>94</v>
      </c>
      <c r="B95" s="18">
        <v>81801</v>
      </c>
      <c r="C95" s="18">
        <v>98</v>
      </c>
      <c r="D95" s="19" t="s">
        <v>208</v>
      </c>
      <c r="E95" s="19" t="s">
        <v>61</v>
      </c>
      <c r="F95" s="18">
        <v>5</v>
      </c>
      <c r="G95" s="19" t="s">
        <v>16</v>
      </c>
      <c r="H95" s="19" t="s">
        <v>209</v>
      </c>
      <c r="I95" s="19"/>
      <c r="J95" s="19" t="s">
        <v>209</v>
      </c>
      <c r="K95" s="20">
        <v>289.36</v>
      </c>
      <c r="N95">
        <f t="shared" si="4"/>
        <v>81801</v>
      </c>
      <c r="O95">
        <f>IF(AND(A95&gt;0,A95&lt;999),IFERROR(VLOOKUP(results0122[[#This Row],[Card]],U14M[],1,FALSE),0),0)</f>
        <v>81801</v>
      </c>
      <c r="P95">
        <f t="shared" si="5"/>
        <v>94</v>
      </c>
    </row>
    <row r="96" spans="1:16" x14ac:dyDescent="0.25">
      <c r="A96" s="13">
        <v>95</v>
      </c>
      <c r="B96" s="14">
        <v>78504</v>
      </c>
      <c r="C96" s="14">
        <v>93</v>
      </c>
      <c r="D96" s="15" t="s">
        <v>210</v>
      </c>
      <c r="E96" s="15" t="s">
        <v>19</v>
      </c>
      <c r="F96" s="14">
        <v>5</v>
      </c>
      <c r="G96" s="15" t="s">
        <v>16</v>
      </c>
      <c r="H96" s="15" t="s">
        <v>211</v>
      </c>
      <c r="I96" s="15"/>
      <c r="J96" s="15" t="s">
        <v>211</v>
      </c>
      <c r="K96" s="16">
        <v>299.67</v>
      </c>
      <c r="N96">
        <f t="shared" si="4"/>
        <v>78504</v>
      </c>
      <c r="O96">
        <f>IF(AND(A96&gt;0,A96&lt;999),IFERROR(VLOOKUP(results0122[[#This Row],[Card]],U14M[],1,FALSE),0),0)</f>
        <v>78504</v>
      </c>
      <c r="P96">
        <f t="shared" si="5"/>
        <v>95</v>
      </c>
    </row>
    <row r="97" spans="1:16" x14ac:dyDescent="0.25">
      <c r="A97" s="17">
        <v>96</v>
      </c>
      <c r="B97" s="18">
        <v>81880</v>
      </c>
      <c r="C97" s="18">
        <v>85</v>
      </c>
      <c r="D97" s="19" t="s">
        <v>212</v>
      </c>
      <c r="E97" s="19" t="s">
        <v>61</v>
      </c>
      <c r="F97" s="18">
        <v>5</v>
      </c>
      <c r="G97" s="19" t="s">
        <v>16</v>
      </c>
      <c r="H97" s="19" t="s">
        <v>213</v>
      </c>
      <c r="I97" s="19"/>
      <c r="J97" s="19" t="s">
        <v>213</v>
      </c>
      <c r="K97" s="20">
        <v>426.25</v>
      </c>
      <c r="N97">
        <f t="shared" si="4"/>
        <v>81880</v>
      </c>
      <c r="O97">
        <f>IF(AND(A97&gt;0,A97&lt;999),IFERROR(VLOOKUP(results0122[[#This Row],[Card]],U14M[],1,FALSE),0),0)</f>
        <v>81880</v>
      </c>
      <c r="P97">
        <f t="shared" si="5"/>
        <v>96</v>
      </c>
    </row>
    <row r="98" spans="1:16" x14ac:dyDescent="0.25">
      <c r="A98" s="13">
        <v>999</v>
      </c>
      <c r="B98" s="14">
        <v>77258</v>
      </c>
      <c r="C98" s="14">
        <v>31</v>
      </c>
      <c r="D98" s="15" t="s">
        <v>214</v>
      </c>
      <c r="E98" s="15" t="s">
        <v>42</v>
      </c>
      <c r="F98" s="14">
        <v>4</v>
      </c>
      <c r="G98" s="15" t="s">
        <v>16</v>
      </c>
      <c r="H98" s="15" t="s">
        <v>215</v>
      </c>
      <c r="I98" s="15"/>
      <c r="J98" s="15"/>
      <c r="K98" s="16">
        <v>0</v>
      </c>
      <c r="N98">
        <f t="shared" ref="N98:N107" si="6">B98</f>
        <v>77258</v>
      </c>
      <c r="O98">
        <f>IF(AND(A98&gt;0,A98&lt;999),IFERROR(VLOOKUP(results0122[[#This Row],[Card]],U14M[],1,FALSE),0),0)</f>
        <v>0</v>
      </c>
      <c r="P98">
        <f t="shared" ref="P98:P107" si="7">A98</f>
        <v>999</v>
      </c>
    </row>
    <row r="99" spans="1:16" x14ac:dyDescent="0.25">
      <c r="A99" s="17">
        <v>999</v>
      </c>
      <c r="B99" s="18">
        <v>80701</v>
      </c>
      <c r="C99" s="18">
        <v>94</v>
      </c>
      <c r="D99" s="19" t="s">
        <v>216</v>
      </c>
      <c r="E99" s="19" t="s">
        <v>31</v>
      </c>
      <c r="F99" s="18">
        <v>5</v>
      </c>
      <c r="G99" s="19" t="s">
        <v>16</v>
      </c>
      <c r="H99" s="19" t="s">
        <v>215</v>
      </c>
      <c r="I99" s="19"/>
      <c r="J99" s="19"/>
      <c r="K99" s="20">
        <v>0</v>
      </c>
      <c r="N99">
        <f t="shared" si="6"/>
        <v>80701</v>
      </c>
      <c r="O99">
        <f>IF(AND(A99&gt;0,A99&lt;999),IFERROR(VLOOKUP(results0122[[#This Row],[Card]],U14M[],1,FALSE),0),0)</f>
        <v>0</v>
      </c>
      <c r="P99">
        <f t="shared" si="7"/>
        <v>999</v>
      </c>
    </row>
    <row r="100" spans="1:16" x14ac:dyDescent="0.25">
      <c r="A100" s="13">
        <v>999</v>
      </c>
      <c r="B100" s="14">
        <v>80830</v>
      </c>
      <c r="C100" s="14">
        <v>95</v>
      </c>
      <c r="D100" s="15" t="s">
        <v>217</v>
      </c>
      <c r="E100" s="15" t="s">
        <v>54</v>
      </c>
      <c r="F100" s="14">
        <v>5</v>
      </c>
      <c r="G100" s="15" t="s">
        <v>16</v>
      </c>
      <c r="H100" s="15" t="s">
        <v>215</v>
      </c>
      <c r="I100" s="15"/>
      <c r="J100" s="15"/>
      <c r="K100" s="16">
        <v>0</v>
      </c>
      <c r="N100">
        <f t="shared" si="6"/>
        <v>80830</v>
      </c>
      <c r="O100">
        <f>IF(AND(A100&gt;0,A100&lt;999),IFERROR(VLOOKUP(results0122[[#This Row],[Card]],U14M[],1,FALSE),0),0)</f>
        <v>0</v>
      </c>
      <c r="P100">
        <f t="shared" si="7"/>
        <v>999</v>
      </c>
    </row>
    <row r="101" spans="1:16" x14ac:dyDescent="0.25">
      <c r="A101" s="17">
        <v>999</v>
      </c>
      <c r="B101" s="18">
        <v>85454</v>
      </c>
      <c r="C101" s="18">
        <v>97</v>
      </c>
      <c r="D101" s="19" t="s">
        <v>218</v>
      </c>
      <c r="E101" s="19" t="s">
        <v>54</v>
      </c>
      <c r="F101" s="18">
        <v>5</v>
      </c>
      <c r="G101" s="19" t="s">
        <v>16</v>
      </c>
      <c r="H101" s="19" t="s">
        <v>215</v>
      </c>
      <c r="I101" s="19"/>
      <c r="J101" s="19"/>
      <c r="K101" s="20">
        <v>0</v>
      </c>
      <c r="N101">
        <f t="shared" si="6"/>
        <v>85454</v>
      </c>
      <c r="O101">
        <f>IF(AND(A101&gt;0,A101&lt;999),IFERROR(VLOOKUP(results0122[[#This Row],[Card]],U14M[],1,FALSE),0),0)</f>
        <v>0</v>
      </c>
      <c r="P101">
        <f t="shared" si="7"/>
        <v>999</v>
      </c>
    </row>
    <row r="102" spans="1:16" x14ac:dyDescent="0.25">
      <c r="A102" s="13">
        <v>999</v>
      </c>
      <c r="B102" s="14">
        <v>80610</v>
      </c>
      <c r="C102" s="14">
        <v>13</v>
      </c>
      <c r="D102" s="15" t="s">
        <v>219</v>
      </c>
      <c r="E102" s="15" t="s">
        <v>15</v>
      </c>
      <c r="F102" s="14">
        <v>5</v>
      </c>
      <c r="G102" s="15" t="s">
        <v>16</v>
      </c>
      <c r="H102" s="15" t="s">
        <v>220</v>
      </c>
      <c r="I102" s="15"/>
      <c r="J102" s="15"/>
      <c r="K102" s="16">
        <v>0</v>
      </c>
      <c r="N102">
        <f t="shared" si="6"/>
        <v>80610</v>
      </c>
      <c r="O102">
        <f>IF(AND(A102&gt;0,A102&lt;999),IFERROR(VLOOKUP(results0122[[#This Row],[Card]],U14M[],1,FALSE),0),0)</f>
        <v>0</v>
      </c>
      <c r="P102">
        <f t="shared" si="7"/>
        <v>999</v>
      </c>
    </row>
    <row r="103" spans="1:16" x14ac:dyDescent="0.25">
      <c r="A103" s="17">
        <v>999</v>
      </c>
      <c r="B103" s="18">
        <v>85546</v>
      </c>
      <c r="C103" s="18">
        <v>36</v>
      </c>
      <c r="D103" s="19" t="s">
        <v>221</v>
      </c>
      <c r="E103" s="19" t="s">
        <v>117</v>
      </c>
      <c r="F103" s="18">
        <v>4</v>
      </c>
      <c r="G103" s="19" t="s">
        <v>16</v>
      </c>
      <c r="H103" s="19" t="s">
        <v>220</v>
      </c>
      <c r="I103" s="19"/>
      <c r="J103" s="19"/>
      <c r="K103" s="20">
        <v>0</v>
      </c>
      <c r="N103">
        <f t="shared" si="6"/>
        <v>85546</v>
      </c>
      <c r="O103">
        <f>IF(AND(A103&gt;0,A103&lt;999),IFERROR(VLOOKUP(results0122[[#This Row],[Card]],U14M[],1,FALSE),0),0)</f>
        <v>0</v>
      </c>
      <c r="P103">
        <f t="shared" si="7"/>
        <v>999</v>
      </c>
    </row>
    <row r="104" spans="1:16" x14ac:dyDescent="0.25">
      <c r="A104" s="13">
        <v>999</v>
      </c>
      <c r="B104" s="14">
        <v>80627</v>
      </c>
      <c r="C104" s="14">
        <v>54</v>
      </c>
      <c r="D104" s="15" t="s">
        <v>222</v>
      </c>
      <c r="E104" s="15" t="s">
        <v>19</v>
      </c>
      <c r="F104" s="14">
        <v>5</v>
      </c>
      <c r="G104" s="15" t="s">
        <v>16</v>
      </c>
      <c r="H104" s="15" t="s">
        <v>220</v>
      </c>
      <c r="I104" s="15"/>
      <c r="J104" s="15"/>
      <c r="K104" s="16">
        <v>0</v>
      </c>
      <c r="N104">
        <f t="shared" si="6"/>
        <v>80627</v>
      </c>
      <c r="O104">
        <f>IF(AND(A104&gt;0,A104&lt;999),IFERROR(VLOOKUP(results0122[[#This Row],[Card]],U14M[],1,FALSE),0),0)</f>
        <v>0</v>
      </c>
      <c r="P104">
        <f t="shared" si="7"/>
        <v>999</v>
      </c>
    </row>
    <row r="105" spans="1:16" x14ac:dyDescent="0.25">
      <c r="A105" s="17">
        <v>999</v>
      </c>
      <c r="B105" s="18">
        <v>82405</v>
      </c>
      <c r="C105" s="18">
        <v>71</v>
      </c>
      <c r="D105" s="19" t="s">
        <v>223</v>
      </c>
      <c r="E105" s="19" t="s">
        <v>101</v>
      </c>
      <c r="F105" s="18">
        <v>4</v>
      </c>
      <c r="G105" s="19" t="s">
        <v>16</v>
      </c>
      <c r="H105" s="19" t="s">
        <v>220</v>
      </c>
      <c r="I105" s="19"/>
      <c r="J105" s="19"/>
      <c r="K105" s="20">
        <v>0</v>
      </c>
      <c r="N105">
        <f t="shared" si="6"/>
        <v>82405</v>
      </c>
      <c r="O105">
        <f>IF(AND(A105&gt;0,A105&lt;999),IFERROR(VLOOKUP(results0122[[#This Row],[Card]],U14M[],1,FALSE),0),0)</f>
        <v>0</v>
      </c>
      <c r="P105">
        <f t="shared" si="7"/>
        <v>999</v>
      </c>
    </row>
    <row r="106" spans="1:16" x14ac:dyDescent="0.25">
      <c r="A106" s="13">
        <v>999</v>
      </c>
      <c r="B106" s="14">
        <v>85448</v>
      </c>
      <c r="C106" s="14">
        <v>76</v>
      </c>
      <c r="D106" s="15" t="s">
        <v>224</v>
      </c>
      <c r="E106" s="15" t="s">
        <v>101</v>
      </c>
      <c r="F106" s="14">
        <v>4</v>
      </c>
      <c r="G106" s="15" t="s">
        <v>16</v>
      </c>
      <c r="H106" s="15" t="s">
        <v>220</v>
      </c>
      <c r="I106" s="15"/>
      <c r="J106" s="15"/>
      <c r="K106" s="16">
        <v>0</v>
      </c>
      <c r="N106">
        <f t="shared" si="6"/>
        <v>85448</v>
      </c>
      <c r="O106">
        <f>IF(AND(A106&gt;0,A106&lt;999),IFERROR(VLOOKUP(results0122[[#This Row],[Card]],U14M[],1,FALSE),0),0)</f>
        <v>0</v>
      </c>
      <c r="P106">
        <f t="shared" si="7"/>
        <v>999</v>
      </c>
    </row>
    <row r="107" spans="1:16" x14ac:dyDescent="0.25">
      <c r="A107" s="6">
        <v>999</v>
      </c>
      <c r="B107" s="7">
        <v>81459</v>
      </c>
      <c r="C107" s="7">
        <v>105</v>
      </c>
      <c r="D107" s="8" t="s">
        <v>225</v>
      </c>
      <c r="E107" s="8" t="s">
        <v>101</v>
      </c>
      <c r="F107" s="7">
        <v>5</v>
      </c>
      <c r="G107" s="8" t="s">
        <v>16</v>
      </c>
      <c r="H107" s="8" t="s">
        <v>220</v>
      </c>
      <c r="I107" s="8"/>
      <c r="J107" s="8"/>
      <c r="K107" s="9">
        <v>0</v>
      </c>
      <c r="N107">
        <f t="shared" si="6"/>
        <v>81459</v>
      </c>
      <c r="O107">
        <f>IF(AND(A107&gt;0,A107&lt;999),IFERROR(VLOOKUP(results0122[[#This Row],[Card]],U14M[],1,FALSE),0),0)</f>
        <v>0</v>
      </c>
      <c r="P107">
        <f t="shared" si="7"/>
        <v>999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workbookViewId="0">
      <selection activeCell="Q3" sqref="Q3"/>
    </sheetView>
  </sheetViews>
  <sheetFormatPr defaultRowHeight="15" x14ac:dyDescent="0.25"/>
  <cols>
    <col min="1" max="1" width="7.42578125" bestFit="1" customWidth="1"/>
    <col min="2" max="2" width="7.140625" bestFit="1" customWidth="1"/>
    <col min="3" max="3" width="5.85546875" bestFit="1" customWidth="1"/>
    <col min="4" max="4" width="24.5703125" bestFit="1" customWidth="1"/>
    <col min="5" max="5" width="7" bestFit="1" customWidth="1"/>
    <col min="6" max="6" width="6.7109375" bestFit="1" customWidth="1"/>
    <col min="7" max="7" width="10.7109375" bestFit="1" customWidth="1"/>
    <col min="8" max="8" width="9.42578125" bestFit="1" customWidth="1"/>
    <col min="9" max="9" width="9.7109375" bestFit="1" customWidth="1"/>
    <col min="10" max="10" width="12" bestFit="1" customWidth="1"/>
    <col min="11" max="11" width="8.42578125" bestFit="1" customWidth="1"/>
  </cols>
  <sheetData>
    <row r="1" spans="1:18" ht="14.45" x14ac:dyDescent="0.3">
      <c r="A1" s="10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N1" t="s">
        <v>3</v>
      </c>
      <c r="O1" t="s">
        <v>226</v>
      </c>
      <c r="P1" t="s">
        <v>8</v>
      </c>
      <c r="Q1" t="s">
        <v>605</v>
      </c>
      <c r="R1" t="s">
        <v>606</v>
      </c>
    </row>
    <row r="2" spans="1:18" ht="14.45" x14ac:dyDescent="0.3">
      <c r="A2" s="13">
        <v>1</v>
      </c>
      <c r="B2" s="14">
        <v>80698</v>
      </c>
      <c r="C2" s="14">
        <v>32</v>
      </c>
      <c r="D2" s="15" t="s">
        <v>30</v>
      </c>
      <c r="E2" s="15" t="s">
        <v>31</v>
      </c>
      <c r="F2" s="14">
        <v>4</v>
      </c>
      <c r="G2" s="15" t="s">
        <v>16</v>
      </c>
      <c r="H2" s="15">
        <v>41.91</v>
      </c>
      <c r="I2" s="15">
        <v>44.59</v>
      </c>
      <c r="J2" s="15" t="s">
        <v>230</v>
      </c>
      <c r="K2" s="16">
        <v>0</v>
      </c>
      <c r="N2">
        <f t="shared" ref="N2:N33" si="0">B2</f>
        <v>80698</v>
      </c>
      <c r="O2">
        <f>IF(AND(A2&gt;0,A2&lt;999),IFERROR(VLOOKUP(results0124[[#This Row],[Card]],U14M[],1,FALSE),0),0)</f>
        <v>80698</v>
      </c>
      <c r="P2">
        <f t="shared" ref="P2:P33" si="1">A2</f>
        <v>1</v>
      </c>
      <c r="Q2" s="5">
        <f t="shared" ref="Q2:Q33" si="2">IFERROR(_xlfn.RANK.EQ(H2,$H$2:$H$117,1),999)</f>
        <v>1</v>
      </c>
      <c r="R2" s="5">
        <f t="shared" ref="R2:R33" si="3">IFERROR(_xlfn.RANK.EQ(I2,$I$2:$I$117,1),999)</f>
        <v>4</v>
      </c>
    </row>
    <row r="3" spans="1:18" ht="14.45" x14ac:dyDescent="0.3">
      <c r="A3" s="17">
        <v>2</v>
      </c>
      <c r="B3" s="18">
        <v>81073</v>
      </c>
      <c r="C3" s="18">
        <v>1</v>
      </c>
      <c r="D3" s="19" t="s">
        <v>40</v>
      </c>
      <c r="E3" s="19" t="s">
        <v>15</v>
      </c>
      <c r="F3" s="18">
        <v>4</v>
      </c>
      <c r="G3" s="19" t="s">
        <v>16</v>
      </c>
      <c r="H3" s="19">
        <v>42.36</v>
      </c>
      <c r="I3" s="19">
        <v>44.43</v>
      </c>
      <c r="J3" s="19" t="s">
        <v>231</v>
      </c>
      <c r="K3" s="20">
        <v>3.29</v>
      </c>
      <c r="N3">
        <f t="shared" si="0"/>
        <v>81073</v>
      </c>
      <c r="O3">
        <f>IF(AND(A3&gt;0,A3&lt;999),IFERROR(VLOOKUP(results0124[[#This Row],[Card]],U14M[],1,FALSE),0),0)</f>
        <v>81073</v>
      </c>
      <c r="P3">
        <f t="shared" si="1"/>
        <v>2</v>
      </c>
      <c r="Q3" s="5">
        <f t="shared" si="2"/>
        <v>2</v>
      </c>
      <c r="R3" s="5">
        <f t="shared" si="3"/>
        <v>1</v>
      </c>
    </row>
    <row r="4" spans="1:18" ht="14.45" x14ac:dyDescent="0.3">
      <c r="A4" s="13">
        <v>3</v>
      </c>
      <c r="B4" s="14">
        <v>78517</v>
      </c>
      <c r="C4" s="14">
        <v>8</v>
      </c>
      <c r="D4" s="15" t="s">
        <v>14</v>
      </c>
      <c r="E4" s="15" t="s">
        <v>15</v>
      </c>
      <c r="F4" s="14">
        <v>4</v>
      </c>
      <c r="G4" s="15" t="s">
        <v>16</v>
      </c>
      <c r="H4" s="15">
        <v>42.43</v>
      </c>
      <c r="I4" s="15">
        <v>44.57</v>
      </c>
      <c r="J4" s="15" t="s">
        <v>232</v>
      </c>
      <c r="K4" s="16">
        <v>5.66</v>
      </c>
      <c r="N4">
        <f t="shared" si="0"/>
        <v>78517</v>
      </c>
      <c r="O4">
        <f>IF(AND(A4&gt;0,A4&lt;999),IFERROR(VLOOKUP(results0124[[#This Row],[Card]],U14M[],1,FALSE),0),0)</f>
        <v>78517</v>
      </c>
      <c r="P4">
        <f t="shared" si="1"/>
        <v>3</v>
      </c>
      <c r="Q4" s="5">
        <f t="shared" si="2"/>
        <v>3</v>
      </c>
      <c r="R4" s="5">
        <f t="shared" si="3"/>
        <v>3</v>
      </c>
    </row>
    <row r="5" spans="1:18" ht="14.45" x14ac:dyDescent="0.3">
      <c r="A5" s="17">
        <v>4</v>
      </c>
      <c r="B5" s="18">
        <v>80680</v>
      </c>
      <c r="C5" s="18">
        <v>4</v>
      </c>
      <c r="D5" s="19" t="s">
        <v>28</v>
      </c>
      <c r="E5" s="19" t="s">
        <v>15</v>
      </c>
      <c r="F5" s="18">
        <v>4</v>
      </c>
      <c r="G5" s="19" t="s">
        <v>16</v>
      </c>
      <c r="H5" s="19">
        <v>42.51</v>
      </c>
      <c r="I5" s="19">
        <v>44.63</v>
      </c>
      <c r="J5" s="19" t="s">
        <v>233</v>
      </c>
      <c r="K5" s="20">
        <v>7.25</v>
      </c>
      <c r="N5">
        <f t="shared" si="0"/>
        <v>80680</v>
      </c>
      <c r="O5">
        <f>IF(AND(A5&gt;0,A5&lt;999),IFERROR(VLOOKUP(results0124[[#This Row],[Card]],U14M[],1,FALSE),0),0)</f>
        <v>80680</v>
      </c>
      <c r="P5">
        <f t="shared" si="1"/>
        <v>4</v>
      </c>
      <c r="Q5" s="5">
        <f t="shared" si="2"/>
        <v>5</v>
      </c>
      <c r="R5" s="5">
        <f t="shared" si="3"/>
        <v>5</v>
      </c>
    </row>
    <row r="6" spans="1:18" ht="14.45" x14ac:dyDescent="0.3">
      <c r="A6" s="13">
        <v>5</v>
      </c>
      <c r="B6" s="14">
        <v>77368</v>
      </c>
      <c r="C6" s="14">
        <v>21</v>
      </c>
      <c r="D6" s="15" t="s">
        <v>35</v>
      </c>
      <c r="E6" s="15" t="s">
        <v>15</v>
      </c>
      <c r="F6" s="14">
        <v>4</v>
      </c>
      <c r="G6" s="15" t="s">
        <v>16</v>
      </c>
      <c r="H6" s="15">
        <v>42.81</v>
      </c>
      <c r="I6" s="15">
        <v>44.53</v>
      </c>
      <c r="J6" s="15" t="s">
        <v>234</v>
      </c>
      <c r="K6" s="16">
        <v>9.52</v>
      </c>
      <c r="N6">
        <f t="shared" si="0"/>
        <v>77368</v>
      </c>
      <c r="O6">
        <f>IF(AND(A6&gt;0,A6&lt;999),IFERROR(VLOOKUP(results0124[[#This Row],[Card]],U14M[],1,FALSE),0),0)</f>
        <v>77368</v>
      </c>
      <c r="P6">
        <f t="shared" si="1"/>
        <v>5</v>
      </c>
      <c r="Q6" s="5">
        <f t="shared" si="2"/>
        <v>7</v>
      </c>
      <c r="R6" s="5">
        <f t="shared" si="3"/>
        <v>2</v>
      </c>
    </row>
    <row r="7" spans="1:18" ht="14.45" x14ac:dyDescent="0.3">
      <c r="A7" s="17">
        <v>6</v>
      </c>
      <c r="B7" s="18">
        <v>80713</v>
      </c>
      <c r="C7" s="18">
        <v>20</v>
      </c>
      <c r="D7" s="19" t="s">
        <v>21</v>
      </c>
      <c r="E7" s="19" t="s">
        <v>22</v>
      </c>
      <c r="F7" s="18">
        <v>4</v>
      </c>
      <c r="G7" s="19" t="s">
        <v>16</v>
      </c>
      <c r="H7" s="19">
        <v>42.71</v>
      </c>
      <c r="I7" s="19">
        <v>45.55</v>
      </c>
      <c r="J7" s="19" t="s">
        <v>235</v>
      </c>
      <c r="K7" s="20">
        <v>19.940000000000001</v>
      </c>
      <c r="N7">
        <f t="shared" si="0"/>
        <v>80713</v>
      </c>
      <c r="O7">
        <f>IF(AND(A7&gt;0,A7&lt;999),IFERROR(VLOOKUP(results0124[[#This Row],[Card]],U14M[],1,FALSE),0),0)</f>
        <v>80713</v>
      </c>
      <c r="P7">
        <f t="shared" si="1"/>
        <v>6</v>
      </c>
      <c r="Q7" s="5">
        <f t="shared" si="2"/>
        <v>6</v>
      </c>
      <c r="R7" s="5">
        <f t="shared" si="3"/>
        <v>9</v>
      </c>
    </row>
    <row r="8" spans="1:18" ht="14.45" x14ac:dyDescent="0.3">
      <c r="A8" s="13">
        <v>7</v>
      </c>
      <c r="B8" s="14">
        <v>80621</v>
      </c>
      <c r="C8" s="14">
        <v>29</v>
      </c>
      <c r="D8" s="15" t="s">
        <v>18</v>
      </c>
      <c r="E8" s="15" t="s">
        <v>19</v>
      </c>
      <c r="F8" s="14">
        <v>4</v>
      </c>
      <c r="G8" s="15" t="s">
        <v>16</v>
      </c>
      <c r="H8" s="15">
        <v>43.36</v>
      </c>
      <c r="I8" s="15">
        <v>44.91</v>
      </c>
      <c r="J8" s="15" t="s">
        <v>236</v>
      </c>
      <c r="K8" s="16">
        <v>20.05</v>
      </c>
      <c r="N8">
        <f t="shared" si="0"/>
        <v>80621</v>
      </c>
      <c r="O8">
        <f>IF(AND(A8&gt;0,A8&lt;999),IFERROR(VLOOKUP(results0124[[#This Row],[Card]],U14M[],1,FALSE),0),0)</f>
        <v>80621</v>
      </c>
      <c r="P8">
        <f t="shared" si="1"/>
        <v>7</v>
      </c>
      <c r="Q8" s="5">
        <f t="shared" si="2"/>
        <v>12</v>
      </c>
      <c r="R8" s="5">
        <f t="shared" si="3"/>
        <v>6</v>
      </c>
    </row>
    <row r="9" spans="1:18" ht="14.45" x14ac:dyDescent="0.3">
      <c r="A9" s="17">
        <v>8</v>
      </c>
      <c r="B9" s="18">
        <v>80683</v>
      </c>
      <c r="C9" s="18">
        <v>24</v>
      </c>
      <c r="D9" s="19" t="s">
        <v>67</v>
      </c>
      <c r="E9" s="19" t="s">
        <v>15</v>
      </c>
      <c r="F9" s="18">
        <v>4</v>
      </c>
      <c r="G9" s="19" t="s">
        <v>16</v>
      </c>
      <c r="H9" s="19">
        <v>43.18</v>
      </c>
      <c r="I9" s="19">
        <v>45.64</v>
      </c>
      <c r="J9" s="19" t="s">
        <v>237</v>
      </c>
      <c r="K9" s="20">
        <v>26.28</v>
      </c>
      <c r="N9">
        <f t="shared" si="0"/>
        <v>80683</v>
      </c>
      <c r="O9">
        <f>IF(AND(A9&gt;0,A9&lt;999),IFERROR(VLOOKUP(results0124[[#This Row],[Card]],U14M[],1,FALSE),0),0)</f>
        <v>80683</v>
      </c>
      <c r="P9">
        <f t="shared" si="1"/>
        <v>8</v>
      </c>
      <c r="Q9" s="5">
        <f t="shared" si="2"/>
        <v>9</v>
      </c>
      <c r="R9" s="5">
        <f t="shared" si="3"/>
        <v>10</v>
      </c>
    </row>
    <row r="10" spans="1:18" ht="14.45" x14ac:dyDescent="0.3">
      <c r="A10" s="13">
        <v>9</v>
      </c>
      <c r="B10" s="14">
        <v>80717</v>
      </c>
      <c r="C10" s="14">
        <v>7</v>
      </c>
      <c r="D10" s="15" t="s">
        <v>26</v>
      </c>
      <c r="E10" s="15" t="s">
        <v>22</v>
      </c>
      <c r="F10" s="14">
        <v>4</v>
      </c>
      <c r="G10" s="15" t="s">
        <v>16</v>
      </c>
      <c r="H10" s="15">
        <v>42.98</v>
      </c>
      <c r="I10" s="15">
        <v>45.88</v>
      </c>
      <c r="J10" s="15" t="s">
        <v>238</v>
      </c>
      <c r="K10" s="16">
        <v>26.74</v>
      </c>
      <c r="N10">
        <f t="shared" si="0"/>
        <v>80717</v>
      </c>
      <c r="O10">
        <f>IF(AND(A10&gt;0,A10&lt;999),IFERROR(VLOOKUP(results0124[[#This Row],[Card]],U14M[],1,FALSE),0),0)</f>
        <v>80717</v>
      </c>
      <c r="P10">
        <f t="shared" si="1"/>
        <v>9</v>
      </c>
      <c r="Q10" s="5">
        <f t="shared" si="2"/>
        <v>8</v>
      </c>
      <c r="R10" s="5">
        <f t="shared" si="3"/>
        <v>12</v>
      </c>
    </row>
    <row r="11" spans="1:18" ht="14.45" x14ac:dyDescent="0.3">
      <c r="A11" s="17">
        <v>10</v>
      </c>
      <c r="B11" s="18">
        <v>84829</v>
      </c>
      <c r="C11" s="18">
        <v>12</v>
      </c>
      <c r="D11" s="19" t="s">
        <v>68</v>
      </c>
      <c r="E11" s="19" t="s">
        <v>15</v>
      </c>
      <c r="F11" s="18">
        <v>5</v>
      </c>
      <c r="G11" s="19" t="s">
        <v>16</v>
      </c>
      <c r="H11" s="19">
        <v>43.21</v>
      </c>
      <c r="I11" s="19">
        <v>46.18</v>
      </c>
      <c r="J11" s="19" t="s">
        <v>239</v>
      </c>
      <c r="K11" s="20">
        <v>32.74</v>
      </c>
      <c r="N11">
        <f t="shared" si="0"/>
        <v>84829</v>
      </c>
      <c r="O11">
        <f>IF(AND(A11&gt;0,A11&lt;999),IFERROR(VLOOKUP(results0124[[#This Row],[Card]],U14M[],1,FALSE),0),0)</f>
        <v>84829</v>
      </c>
      <c r="P11">
        <f t="shared" si="1"/>
        <v>10</v>
      </c>
      <c r="Q11" s="5">
        <f t="shared" si="2"/>
        <v>10</v>
      </c>
      <c r="R11" s="5">
        <f t="shared" si="3"/>
        <v>18</v>
      </c>
    </row>
    <row r="12" spans="1:18" ht="14.45" x14ac:dyDescent="0.3">
      <c r="A12" s="13">
        <v>11</v>
      </c>
      <c r="B12" s="14">
        <v>85883</v>
      </c>
      <c r="C12" s="14">
        <v>25</v>
      </c>
      <c r="D12" s="15" t="s">
        <v>51</v>
      </c>
      <c r="E12" s="15" t="s">
        <v>15</v>
      </c>
      <c r="F12" s="14">
        <v>4</v>
      </c>
      <c r="G12" s="15" t="s">
        <v>16</v>
      </c>
      <c r="H12" s="15">
        <v>44.12</v>
      </c>
      <c r="I12" s="15">
        <v>45.32</v>
      </c>
      <c r="J12" s="15" t="s">
        <v>240</v>
      </c>
      <c r="K12" s="16">
        <v>33.31</v>
      </c>
      <c r="N12">
        <f t="shared" si="0"/>
        <v>85883</v>
      </c>
      <c r="O12">
        <f>IF(AND(A12&gt;0,A12&lt;999),IFERROR(VLOOKUP(results0124[[#This Row],[Card]],U14M[],1,FALSE),0),0)</f>
        <v>85883</v>
      </c>
      <c r="P12">
        <f t="shared" si="1"/>
        <v>11</v>
      </c>
      <c r="Q12" s="5">
        <f t="shared" si="2"/>
        <v>25</v>
      </c>
      <c r="R12" s="5">
        <f t="shared" si="3"/>
        <v>8</v>
      </c>
    </row>
    <row r="13" spans="1:18" ht="14.45" x14ac:dyDescent="0.3">
      <c r="A13" s="17">
        <v>11</v>
      </c>
      <c r="B13" s="18">
        <v>80709</v>
      </c>
      <c r="C13" s="18">
        <v>3</v>
      </c>
      <c r="D13" s="19" t="s">
        <v>24</v>
      </c>
      <c r="E13" s="19" t="s">
        <v>22</v>
      </c>
      <c r="F13" s="18">
        <v>5</v>
      </c>
      <c r="G13" s="19" t="s">
        <v>16</v>
      </c>
      <c r="H13" s="19">
        <v>44.25</v>
      </c>
      <c r="I13" s="19">
        <v>45.19</v>
      </c>
      <c r="J13" s="19" t="s">
        <v>240</v>
      </c>
      <c r="K13" s="20">
        <v>33.31</v>
      </c>
      <c r="N13">
        <f t="shared" si="0"/>
        <v>80709</v>
      </c>
      <c r="O13">
        <f>IF(AND(A13&gt;0,A13&lt;999),IFERROR(VLOOKUP(results0124[[#This Row],[Card]],U14M[],1,FALSE),0),0)</f>
        <v>80709</v>
      </c>
      <c r="P13">
        <f t="shared" si="1"/>
        <v>11</v>
      </c>
      <c r="Q13" s="5">
        <f t="shared" si="2"/>
        <v>27</v>
      </c>
      <c r="R13" s="5">
        <f t="shared" si="3"/>
        <v>7</v>
      </c>
    </row>
    <row r="14" spans="1:18" ht="14.45" x14ac:dyDescent="0.3">
      <c r="A14" s="13">
        <v>13</v>
      </c>
      <c r="B14" s="14">
        <v>80669</v>
      </c>
      <c r="C14" s="14">
        <v>23</v>
      </c>
      <c r="D14" s="15" t="s">
        <v>70</v>
      </c>
      <c r="E14" s="15" t="s">
        <v>15</v>
      </c>
      <c r="F14" s="14">
        <v>4</v>
      </c>
      <c r="G14" s="15" t="s">
        <v>16</v>
      </c>
      <c r="H14" s="15">
        <v>43.42</v>
      </c>
      <c r="I14" s="15">
        <v>46.09</v>
      </c>
      <c r="J14" s="15" t="s">
        <v>241</v>
      </c>
      <c r="K14" s="16">
        <v>34.1</v>
      </c>
      <c r="N14">
        <f t="shared" si="0"/>
        <v>80669</v>
      </c>
      <c r="O14">
        <f>IF(AND(A14&gt;0,A14&lt;999),IFERROR(VLOOKUP(results0124[[#This Row],[Card]],U14M[],1,FALSE),0),0)</f>
        <v>80669</v>
      </c>
      <c r="P14">
        <f t="shared" si="1"/>
        <v>13</v>
      </c>
      <c r="Q14" s="5">
        <f t="shared" si="2"/>
        <v>14</v>
      </c>
      <c r="R14" s="5">
        <f t="shared" si="3"/>
        <v>17</v>
      </c>
    </row>
    <row r="15" spans="1:18" ht="14.45" x14ac:dyDescent="0.3">
      <c r="A15" s="17">
        <v>14</v>
      </c>
      <c r="B15" s="18">
        <v>80628</v>
      </c>
      <c r="C15" s="18">
        <v>79</v>
      </c>
      <c r="D15" s="19" t="s">
        <v>58</v>
      </c>
      <c r="E15" s="19" t="s">
        <v>19</v>
      </c>
      <c r="F15" s="18">
        <v>4</v>
      </c>
      <c r="G15" s="19" t="s">
        <v>16</v>
      </c>
      <c r="H15" s="19">
        <v>43.73</v>
      </c>
      <c r="I15" s="19">
        <v>45.9</v>
      </c>
      <c r="J15" s="19" t="s">
        <v>242</v>
      </c>
      <c r="K15" s="20">
        <v>35.46</v>
      </c>
      <c r="N15">
        <f t="shared" si="0"/>
        <v>80628</v>
      </c>
      <c r="O15">
        <f>IF(AND(A15&gt;0,A15&lt;999),IFERROR(VLOOKUP(results0124[[#This Row],[Card]],U14M[],1,FALSE),0),0)</f>
        <v>80628</v>
      </c>
      <c r="P15">
        <f t="shared" si="1"/>
        <v>14</v>
      </c>
      <c r="Q15" s="5">
        <f t="shared" si="2"/>
        <v>20</v>
      </c>
      <c r="R15" s="5">
        <f t="shared" si="3"/>
        <v>13</v>
      </c>
    </row>
    <row r="16" spans="1:18" ht="14.45" x14ac:dyDescent="0.3">
      <c r="A16" s="13">
        <v>15</v>
      </c>
      <c r="B16" s="14">
        <v>82314</v>
      </c>
      <c r="C16" s="14">
        <v>19</v>
      </c>
      <c r="D16" s="15" t="s">
        <v>78</v>
      </c>
      <c r="E16" s="15" t="s">
        <v>15</v>
      </c>
      <c r="F16" s="14">
        <v>4</v>
      </c>
      <c r="G16" s="15" t="s">
        <v>16</v>
      </c>
      <c r="H16" s="15">
        <v>43.75</v>
      </c>
      <c r="I16" s="15">
        <v>46.02</v>
      </c>
      <c r="J16" s="15" t="s">
        <v>243</v>
      </c>
      <c r="K16" s="16">
        <v>37.049999999999997</v>
      </c>
      <c r="N16">
        <f t="shared" si="0"/>
        <v>82314</v>
      </c>
      <c r="O16">
        <f>IF(AND(A16&gt;0,A16&lt;999),IFERROR(VLOOKUP(results0124[[#This Row],[Card]],U14M[],1,FALSE),0),0)</f>
        <v>82314</v>
      </c>
      <c r="P16">
        <f t="shared" si="1"/>
        <v>15</v>
      </c>
      <c r="Q16" s="5">
        <f t="shared" si="2"/>
        <v>21</v>
      </c>
      <c r="R16" s="5">
        <f t="shared" si="3"/>
        <v>16</v>
      </c>
    </row>
    <row r="17" spans="1:18" ht="14.45" x14ac:dyDescent="0.3">
      <c r="A17" s="17">
        <v>16</v>
      </c>
      <c r="B17" s="18">
        <v>77422</v>
      </c>
      <c r="C17" s="18">
        <v>17</v>
      </c>
      <c r="D17" s="19" t="s">
        <v>84</v>
      </c>
      <c r="E17" s="19" t="s">
        <v>54</v>
      </c>
      <c r="F17" s="18">
        <v>4</v>
      </c>
      <c r="G17" s="19" t="s">
        <v>16</v>
      </c>
      <c r="H17" s="19">
        <v>44.09</v>
      </c>
      <c r="I17" s="19">
        <v>45.82</v>
      </c>
      <c r="J17" s="19" t="s">
        <v>244</v>
      </c>
      <c r="K17" s="20">
        <v>38.630000000000003</v>
      </c>
      <c r="N17">
        <f t="shared" si="0"/>
        <v>77422</v>
      </c>
      <c r="O17">
        <f>IF(AND(A17&gt;0,A17&lt;999),IFERROR(VLOOKUP(results0124[[#This Row],[Card]],U14M[],1,FALSE),0),0)</f>
        <v>77422</v>
      </c>
      <c r="P17">
        <f t="shared" si="1"/>
        <v>16</v>
      </c>
      <c r="Q17" s="5">
        <f t="shared" si="2"/>
        <v>24</v>
      </c>
      <c r="R17" s="5">
        <f t="shared" si="3"/>
        <v>11</v>
      </c>
    </row>
    <row r="18" spans="1:18" ht="14.45" x14ac:dyDescent="0.3">
      <c r="A18" s="13">
        <v>17</v>
      </c>
      <c r="B18" s="14">
        <v>80809</v>
      </c>
      <c r="C18" s="14">
        <v>18</v>
      </c>
      <c r="D18" s="15" t="s">
        <v>53</v>
      </c>
      <c r="E18" s="15" t="s">
        <v>54</v>
      </c>
      <c r="F18" s="14">
        <v>4</v>
      </c>
      <c r="G18" s="15" t="s">
        <v>16</v>
      </c>
      <c r="H18" s="15">
        <v>43.95</v>
      </c>
      <c r="I18" s="15">
        <v>45.99</v>
      </c>
      <c r="J18" s="15" t="s">
        <v>245</v>
      </c>
      <c r="K18" s="16">
        <v>38.97</v>
      </c>
      <c r="N18">
        <f t="shared" si="0"/>
        <v>80809</v>
      </c>
      <c r="O18">
        <f>IF(AND(A18&gt;0,A18&lt;999),IFERROR(VLOOKUP(results0124[[#This Row],[Card]],U14M[],1,FALSE),0),0)</f>
        <v>80809</v>
      </c>
      <c r="P18">
        <f t="shared" si="1"/>
        <v>17</v>
      </c>
      <c r="Q18" s="5">
        <f t="shared" si="2"/>
        <v>23</v>
      </c>
      <c r="R18" s="5">
        <f t="shared" si="3"/>
        <v>15</v>
      </c>
    </row>
    <row r="19" spans="1:18" ht="14.45" x14ac:dyDescent="0.3">
      <c r="A19" s="17">
        <v>18</v>
      </c>
      <c r="B19" s="18">
        <v>78276</v>
      </c>
      <c r="C19" s="18">
        <v>41</v>
      </c>
      <c r="D19" s="19" t="s">
        <v>92</v>
      </c>
      <c r="E19" s="19" t="s">
        <v>31</v>
      </c>
      <c r="F19" s="18">
        <v>4</v>
      </c>
      <c r="G19" s="19" t="s">
        <v>16</v>
      </c>
      <c r="H19" s="19">
        <v>43.71</v>
      </c>
      <c r="I19" s="19">
        <v>46.33</v>
      </c>
      <c r="J19" s="19" t="s">
        <v>246</v>
      </c>
      <c r="K19" s="20">
        <v>40.11</v>
      </c>
      <c r="N19">
        <f t="shared" si="0"/>
        <v>78276</v>
      </c>
      <c r="O19">
        <f>IF(AND(A19&gt;0,A19&lt;999),IFERROR(VLOOKUP(results0124[[#This Row],[Card]],U14M[],1,FALSE),0),0)</f>
        <v>78276</v>
      </c>
      <c r="P19">
        <f t="shared" si="1"/>
        <v>18</v>
      </c>
      <c r="Q19" s="5">
        <f t="shared" si="2"/>
        <v>18</v>
      </c>
      <c r="R19" s="5">
        <f t="shared" si="3"/>
        <v>20</v>
      </c>
    </row>
    <row r="20" spans="1:18" ht="14.45" x14ac:dyDescent="0.3">
      <c r="A20" s="13">
        <v>19</v>
      </c>
      <c r="B20" s="14">
        <v>85235</v>
      </c>
      <c r="C20" s="14">
        <v>39</v>
      </c>
      <c r="D20" s="15" t="s">
        <v>46</v>
      </c>
      <c r="E20" s="15" t="s">
        <v>47</v>
      </c>
      <c r="F20" s="14">
        <v>4</v>
      </c>
      <c r="G20" s="15" t="s">
        <v>16</v>
      </c>
      <c r="H20" s="15">
        <v>43.71</v>
      </c>
      <c r="I20" s="15">
        <v>46.49</v>
      </c>
      <c r="J20" s="15" t="s">
        <v>247</v>
      </c>
      <c r="K20" s="16">
        <v>41.92</v>
      </c>
      <c r="N20">
        <f t="shared" si="0"/>
        <v>85235</v>
      </c>
      <c r="O20">
        <f>IF(AND(A20&gt;0,A20&lt;999),IFERROR(VLOOKUP(results0124[[#This Row],[Card]],U14M[],1,FALSE),0),0)</f>
        <v>85235</v>
      </c>
      <c r="P20">
        <f t="shared" si="1"/>
        <v>19</v>
      </c>
      <c r="Q20" s="5">
        <f t="shared" si="2"/>
        <v>18</v>
      </c>
      <c r="R20" s="5">
        <f t="shared" si="3"/>
        <v>22</v>
      </c>
    </row>
    <row r="21" spans="1:18" ht="14.45" x14ac:dyDescent="0.3">
      <c r="A21" s="17">
        <v>20</v>
      </c>
      <c r="B21" s="18">
        <v>75018</v>
      </c>
      <c r="C21" s="18">
        <v>22</v>
      </c>
      <c r="D21" s="19" t="s">
        <v>60</v>
      </c>
      <c r="E21" s="19" t="s">
        <v>61</v>
      </c>
      <c r="F21" s="18">
        <v>4</v>
      </c>
      <c r="G21" s="19" t="s">
        <v>16</v>
      </c>
      <c r="H21" s="19">
        <v>43.76</v>
      </c>
      <c r="I21" s="19">
        <v>46.72</v>
      </c>
      <c r="J21" s="19" t="s">
        <v>248</v>
      </c>
      <c r="K21" s="20">
        <v>45.09</v>
      </c>
      <c r="N21">
        <f t="shared" si="0"/>
        <v>75018</v>
      </c>
      <c r="O21">
        <f>IF(AND(A21&gt;0,A21&lt;999),IFERROR(VLOOKUP(results0124[[#This Row],[Card]],U14M[],1,FALSE),0),0)</f>
        <v>75018</v>
      </c>
      <c r="P21">
        <f t="shared" si="1"/>
        <v>20</v>
      </c>
      <c r="Q21" s="5">
        <f t="shared" si="2"/>
        <v>22</v>
      </c>
      <c r="R21" s="5">
        <f t="shared" si="3"/>
        <v>24</v>
      </c>
    </row>
    <row r="22" spans="1:18" ht="14.45" x14ac:dyDescent="0.3">
      <c r="A22" s="13">
        <v>21</v>
      </c>
      <c r="B22" s="14">
        <v>74564</v>
      </c>
      <c r="C22" s="14">
        <v>34</v>
      </c>
      <c r="D22" s="15" t="s">
        <v>100</v>
      </c>
      <c r="E22" s="15" t="s">
        <v>101</v>
      </c>
      <c r="F22" s="14">
        <v>5</v>
      </c>
      <c r="G22" s="15" t="s">
        <v>16</v>
      </c>
      <c r="H22" s="15">
        <v>44.24</v>
      </c>
      <c r="I22" s="15">
        <v>46.34</v>
      </c>
      <c r="J22" s="15" t="s">
        <v>249</v>
      </c>
      <c r="K22" s="16">
        <v>46.22</v>
      </c>
      <c r="N22">
        <f t="shared" si="0"/>
        <v>74564</v>
      </c>
      <c r="O22">
        <f>IF(AND(A22&gt;0,A22&lt;999),IFERROR(VLOOKUP(results0124[[#This Row],[Card]],U14M[],1,FALSE),0),0)</f>
        <v>74564</v>
      </c>
      <c r="P22">
        <f t="shared" si="1"/>
        <v>21</v>
      </c>
      <c r="Q22" s="5">
        <f t="shared" si="2"/>
        <v>26</v>
      </c>
      <c r="R22" s="5">
        <f t="shared" si="3"/>
        <v>21</v>
      </c>
    </row>
    <row r="23" spans="1:18" ht="14.45" x14ac:dyDescent="0.3">
      <c r="A23" s="17">
        <v>22</v>
      </c>
      <c r="B23" s="18">
        <v>84763</v>
      </c>
      <c r="C23" s="18">
        <v>37</v>
      </c>
      <c r="D23" s="19" t="s">
        <v>103</v>
      </c>
      <c r="E23" s="19" t="s">
        <v>15</v>
      </c>
      <c r="F23" s="18">
        <v>5</v>
      </c>
      <c r="G23" s="19" t="s">
        <v>16</v>
      </c>
      <c r="H23" s="19">
        <v>44.27</v>
      </c>
      <c r="I23" s="19">
        <v>46.55</v>
      </c>
      <c r="J23" s="19" t="s">
        <v>250</v>
      </c>
      <c r="K23" s="20">
        <v>48.94</v>
      </c>
      <c r="N23">
        <f t="shared" si="0"/>
        <v>84763</v>
      </c>
      <c r="O23">
        <f>IF(AND(A23&gt;0,A23&lt;999),IFERROR(VLOOKUP(results0124[[#This Row],[Card]],U14M[],1,FALSE),0),0)</f>
        <v>84763</v>
      </c>
      <c r="P23">
        <f t="shared" si="1"/>
        <v>22</v>
      </c>
      <c r="Q23" s="5">
        <f t="shared" si="2"/>
        <v>28</v>
      </c>
      <c r="R23" s="5">
        <f t="shared" si="3"/>
        <v>23</v>
      </c>
    </row>
    <row r="24" spans="1:18" ht="14.45" x14ac:dyDescent="0.3">
      <c r="A24" s="13">
        <v>23</v>
      </c>
      <c r="B24" s="14">
        <v>82441</v>
      </c>
      <c r="C24" s="14">
        <v>46</v>
      </c>
      <c r="D24" s="15" t="s">
        <v>96</v>
      </c>
      <c r="E24" s="15" t="s">
        <v>15</v>
      </c>
      <c r="F24" s="14">
        <v>4</v>
      </c>
      <c r="G24" s="15" t="s">
        <v>16</v>
      </c>
      <c r="H24" s="15">
        <v>45.05</v>
      </c>
      <c r="I24" s="15">
        <v>45.93</v>
      </c>
      <c r="J24" s="15" t="s">
        <v>251</v>
      </c>
      <c r="K24" s="16">
        <v>50.76</v>
      </c>
      <c r="N24">
        <f t="shared" si="0"/>
        <v>82441</v>
      </c>
      <c r="O24">
        <f>IF(AND(A24&gt;0,A24&lt;999),IFERROR(VLOOKUP(results0124[[#This Row],[Card]],U14M[],1,FALSE),0),0)</f>
        <v>82441</v>
      </c>
      <c r="P24">
        <f t="shared" si="1"/>
        <v>23</v>
      </c>
      <c r="Q24" s="5">
        <f t="shared" si="2"/>
        <v>38</v>
      </c>
      <c r="R24" s="5">
        <f t="shared" si="3"/>
        <v>14</v>
      </c>
    </row>
    <row r="25" spans="1:18" ht="14.45" x14ac:dyDescent="0.3">
      <c r="A25" s="17">
        <v>24</v>
      </c>
      <c r="B25" s="18">
        <v>82186</v>
      </c>
      <c r="C25" s="18">
        <v>30</v>
      </c>
      <c r="D25" s="19" t="s">
        <v>114</v>
      </c>
      <c r="E25" s="19" t="s">
        <v>15</v>
      </c>
      <c r="F25" s="18">
        <v>4</v>
      </c>
      <c r="G25" s="19" t="s">
        <v>16</v>
      </c>
      <c r="H25" s="19">
        <v>44.39</v>
      </c>
      <c r="I25" s="19">
        <v>46.92</v>
      </c>
      <c r="J25" s="19" t="s">
        <v>252</v>
      </c>
      <c r="K25" s="20">
        <v>54.49</v>
      </c>
      <c r="N25">
        <f t="shared" si="0"/>
        <v>82186</v>
      </c>
      <c r="O25">
        <f>IF(AND(A25&gt;0,A25&lt;999),IFERROR(VLOOKUP(results0124[[#This Row],[Card]],U14M[],1,FALSE),0),0)</f>
        <v>82186</v>
      </c>
      <c r="P25">
        <f t="shared" si="1"/>
        <v>24</v>
      </c>
      <c r="Q25" s="5">
        <f t="shared" si="2"/>
        <v>29</v>
      </c>
      <c r="R25" s="5">
        <f t="shared" si="3"/>
        <v>25</v>
      </c>
    </row>
    <row r="26" spans="1:18" ht="14.45" x14ac:dyDescent="0.3">
      <c r="A26" s="13">
        <v>25</v>
      </c>
      <c r="B26" s="14">
        <v>80618</v>
      </c>
      <c r="C26" s="14">
        <v>49</v>
      </c>
      <c r="D26" s="15" t="s">
        <v>123</v>
      </c>
      <c r="E26" s="15" t="s">
        <v>19</v>
      </c>
      <c r="F26" s="14">
        <v>4</v>
      </c>
      <c r="G26" s="15" t="s">
        <v>16</v>
      </c>
      <c r="H26" s="15">
        <v>43.51</v>
      </c>
      <c r="I26" s="15">
        <v>48.13</v>
      </c>
      <c r="J26" s="15" t="s">
        <v>253</v>
      </c>
      <c r="K26" s="16">
        <v>58.23</v>
      </c>
      <c r="N26">
        <f t="shared" si="0"/>
        <v>80618</v>
      </c>
      <c r="O26">
        <f>IF(AND(A26&gt;0,A26&lt;999),IFERROR(VLOOKUP(results0124[[#This Row],[Card]],U14M[],1,FALSE),0),0)</f>
        <v>80618</v>
      </c>
      <c r="P26">
        <f t="shared" si="1"/>
        <v>25</v>
      </c>
      <c r="Q26" s="5">
        <f t="shared" si="2"/>
        <v>16</v>
      </c>
      <c r="R26" s="5">
        <f t="shared" si="3"/>
        <v>39</v>
      </c>
    </row>
    <row r="27" spans="1:18" ht="14.45" x14ac:dyDescent="0.3">
      <c r="A27" s="17">
        <v>26</v>
      </c>
      <c r="B27" s="18">
        <v>80729</v>
      </c>
      <c r="C27" s="18">
        <v>28</v>
      </c>
      <c r="D27" s="19" t="s">
        <v>90</v>
      </c>
      <c r="E27" s="19" t="s">
        <v>22</v>
      </c>
      <c r="F27" s="18">
        <v>4</v>
      </c>
      <c r="G27" s="19" t="s">
        <v>16</v>
      </c>
      <c r="H27" s="19">
        <v>44.67</v>
      </c>
      <c r="I27" s="19">
        <v>47.15</v>
      </c>
      <c r="J27" s="19" t="s">
        <v>254</v>
      </c>
      <c r="K27" s="20">
        <v>60.27</v>
      </c>
      <c r="N27">
        <f t="shared" si="0"/>
        <v>80729</v>
      </c>
      <c r="O27">
        <f>IF(AND(A27&gt;0,A27&lt;999),IFERROR(VLOOKUP(results0124[[#This Row],[Card]],U14M[],1,FALSE),0),0)</f>
        <v>80729</v>
      </c>
      <c r="P27">
        <f t="shared" si="1"/>
        <v>26</v>
      </c>
      <c r="Q27" s="5">
        <f t="shared" si="2"/>
        <v>32</v>
      </c>
      <c r="R27" s="5">
        <f t="shared" si="3"/>
        <v>29</v>
      </c>
    </row>
    <row r="28" spans="1:18" x14ac:dyDescent="0.25">
      <c r="A28" s="13">
        <v>27</v>
      </c>
      <c r="B28" s="14">
        <v>80720</v>
      </c>
      <c r="C28" s="14">
        <v>44</v>
      </c>
      <c r="D28" s="15" t="s">
        <v>98</v>
      </c>
      <c r="E28" s="15" t="s">
        <v>22</v>
      </c>
      <c r="F28" s="14">
        <v>5</v>
      </c>
      <c r="G28" s="15" t="s">
        <v>16</v>
      </c>
      <c r="H28" s="15">
        <v>44.93</v>
      </c>
      <c r="I28" s="15">
        <v>47.08</v>
      </c>
      <c r="J28" s="15" t="s">
        <v>255</v>
      </c>
      <c r="K28" s="16">
        <v>62.43</v>
      </c>
      <c r="N28">
        <f t="shared" si="0"/>
        <v>80720</v>
      </c>
      <c r="O28">
        <f>IF(AND(A28&gt;0,A28&lt;999),IFERROR(VLOOKUP(results0124[[#This Row],[Card]],U14M[],1,FALSE),0),0)</f>
        <v>80720</v>
      </c>
      <c r="P28">
        <f t="shared" si="1"/>
        <v>27</v>
      </c>
      <c r="Q28" s="5">
        <f t="shared" si="2"/>
        <v>36</v>
      </c>
      <c r="R28" s="5">
        <f t="shared" si="3"/>
        <v>28</v>
      </c>
    </row>
    <row r="29" spans="1:18" x14ac:dyDescent="0.25">
      <c r="A29" s="17">
        <v>28</v>
      </c>
      <c r="B29" s="18">
        <v>80715</v>
      </c>
      <c r="C29" s="18">
        <v>27</v>
      </c>
      <c r="D29" s="19" t="s">
        <v>65</v>
      </c>
      <c r="E29" s="19" t="s">
        <v>22</v>
      </c>
      <c r="F29" s="18">
        <v>4</v>
      </c>
      <c r="G29" s="19" t="s">
        <v>16</v>
      </c>
      <c r="H29" s="19">
        <v>44.98</v>
      </c>
      <c r="I29" s="19">
        <v>47.06</v>
      </c>
      <c r="J29" s="19" t="s">
        <v>256</v>
      </c>
      <c r="K29" s="20">
        <v>62.77</v>
      </c>
      <c r="N29">
        <f t="shared" si="0"/>
        <v>80715</v>
      </c>
      <c r="O29">
        <f>IF(AND(A29&gt;0,A29&lt;999),IFERROR(VLOOKUP(results0124[[#This Row],[Card]],U14M[],1,FALSE),0),0)</f>
        <v>80715</v>
      </c>
      <c r="P29">
        <f t="shared" si="1"/>
        <v>28</v>
      </c>
      <c r="Q29" s="5">
        <f t="shared" si="2"/>
        <v>37</v>
      </c>
      <c r="R29" s="5">
        <f t="shared" si="3"/>
        <v>27</v>
      </c>
    </row>
    <row r="30" spans="1:18" x14ac:dyDescent="0.25">
      <c r="A30" s="13">
        <v>29</v>
      </c>
      <c r="B30" s="14">
        <v>80629</v>
      </c>
      <c r="C30" s="14">
        <v>63</v>
      </c>
      <c r="D30" s="15" t="s">
        <v>144</v>
      </c>
      <c r="E30" s="15" t="s">
        <v>19</v>
      </c>
      <c r="F30" s="14">
        <v>5</v>
      </c>
      <c r="G30" s="15" t="s">
        <v>16</v>
      </c>
      <c r="H30" s="15">
        <v>44.79</v>
      </c>
      <c r="I30" s="15">
        <v>47.68</v>
      </c>
      <c r="J30" s="15" t="s">
        <v>257</v>
      </c>
      <c r="K30" s="16">
        <v>67.64</v>
      </c>
      <c r="N30">
        <f t="shared" si="0"/>
        <v>80629</v>
      </c>
      <c r="O30">
        <f>IF(AND(A30&gt;0,A30&lt;999),IFERROR(VLOOKUP(results0124[[#This Row],[Card]],U14M[],1,FALSE),0),0)</f>
        <v>80629</v>
      </c>
      <c r="P30">
        <f t="shared" si="1"/>
        <v>29</v>
      </c>
      <c r="Q30" s="5">
        <f t="shared" si="2"/>
        <v>34</v>
      </c>
      <c r="R30" s="5">
        <f t="shared" si="3"/>
        <v>32</v>
      </c>
    </row>
    <row r="31" spans="1:18" x14ac:dyDescent="0.25">
      <c r="A31" s="17">
        <v>29</v>
      </c>
      <c r="B31" s="18">
        <v>80824</v>
      </c>
      <c r="C31" s="18">
        <v>13</v>
      </c>
      <c r="D31" s="19" t="s">
        <v>80</v>
      </c>
      <c r="E31" s="19" t="s">
        <v>54</v>
      </c>
      <c r="F31" s="18">
        <v>4</v>
      </c>
      <c r="G31" s="19" t="s">
        <v>16</v>
      </c>
      <c r="H31" s="19">
        <v>44.45</v>
      </c>
      <c r="I31" s="19">
        <v>48.02</v>
      </c>
      <c r="J31" s="19" t="s">
        <v>257</v>
      </c>
      <c r="K31" s="20">
        <v>67.64</v>
      </c>
      <c r="N31">
        <f t="shared" si="0"/>
        <v>80824</v>
      </c>
      <c r="O31">
        <f>IF(AND(A31&gt;0,A31&lt;999),IFERROR(VLOOKUP(results0124[[#This Row],[Card]],U14M[],1,FALSE),0),0)</f>
        <v>80824</v>
      </c>
      <c r="P31">
        <f t="shared" si="1"/>
        <v>29</v>
      </c>
      <c r="Q31" s="5">
        <f t="shared" si="2"/>
        <v>30</v>
      </c>
      <c r="R31" s="5">
        <f t="shared" si="3"/>
        <v>37</v>
      </c>
    </row>
    <row r="32" spans="1:18" x14ac:dyDescent="0.25">
      <c r="A32" s="13">
        <v>31</v>
      </c>
      <c r="B32" s="14">
        <v>81110</v>
      </c>
      <c r="C32" s="14">
        <v>36</v>
      </c>
      <c r="D32" s="15" t="s">
        <v>86</v>
      </c>
      <c r="E32" s="15" t="s">
        <v>22</v>
      </c>
      <c r="F32" s="14">
        <v>5</v>
      </c>
      <c r="G32" s="15" t="s">
        <v>16</v>
      </c>
      <c r="H32" s="15">
        <v>45.42</v>
      </c>
      <c r="I32" s="15">
        <v>47.43</v>
      </c>
      <c r="J32" s="15" t="s">
        <v>258</v>
      </c>
      <c r="K32" s="16">
        <v>71.94</v>
      </c>
      <c r="N32">
        <f t="shared" si="0"/>
        <v>81110</v>
      </c>
      <c r="O32">
        <f>IF(AND(A32&gt;0,A32&lt;999),IFERROR(VLOOKUP(results0124[[#This Row],[Card]],U14M[],1,FALSE),0),0)</f>
        <v>81110</v>
      </c>
      <c r="P32">
        <f t="shared" si="1"/>
        <v>31</v>
      </c>
      <c r="Q32" s="5">
        <f t="shared" si="2"/>
        <v>44</v>
      </c>
      <c r="R32" s="5">
        <f t="shared" si="3"/>
        <v>30</v>
      </c>
    </row>
    <row r="33" spans="1:18" x14ac:dyDescent="0.25">
      <c r="A33" s="17">
        <v>32</v>
      </c>
      <c r="B33" s="18">
        <v>78398</v>
      </c>
      <c r="C33" s="18">
        <v>86</v>
      </c>
      <c r="D33" s="19" t="s">
        <v>156</v>
      </c>
      <c r="E33" s="19" t="s">
        <v>19</v>
      </c>
      <c r="F33" s="18">
        <v>4</v>
      </c>
      <c r="G33" s="19" t="s">
        <v>16</v>
      </c>
      <c r="H33" s="19">
        <v>45.35</v>
      </c>
      <c r="I33" s="19">
        <v>48.01</v>
      </c>
      <c r="J33" s="19" t="s">
        <v>259</v>
      </c>
      <c r="K33" s="20">
        <v>77.72</v>
      </c>
      <c r="N33">
        <f t="shared" si="0"/>
        <v>78398</v>
      </c>
      <c r="O33">
        <f>IF(AND(A33&gt;0,A33&lt;999),IFERROR(VLOOKUP(results0124[[#This Row],[Card]],U14M[],1,FALSE),0),0)</f>
        <v>78398</v>
      </c>
      <c r="P33">
        <f t="shared" si="1"/>
        <v>32</v>
      </c>
      <c r="Q33" s="5">
        <f t="shared" si="2"/>
        <v>40</v>
      </c>
      <c r="R33" s="5">
        <f t="shared" si="3"/>
        <v>35</v>
      </c>
    </row>
    <row r="34" spans="1:18" x14ac:dyDescent="0.25">
      <c r="A34" s="13">
        <v>33</v>
      </c>
      <c r="B34" s="14">
        <v>81705</v>
      </c>
      <c r="C34" s="14">
        <v>61</v>
      </c>
      <c r="D34" s="15" t="s">
        <v>165</v>
      </c>
      <c r="E34" s="15" t="s">
        <v>31</v>
      </c>
      <c r="F34" s="14">
        <v>4</v>
      </c>
      <c r="G34" s="15" t="s">
        <v>16</v>
      </c>
      <c r="H34" s="15">
        <v>45.37</v>
      </c>
      <c r="I34" s="15">
        <v>48.01</v>
      </c>
      <c r="J34" s="15" t="s">
        <v>260</v>
      </c>
      <c r="K34" s="16">
        <v>77.95</v>
      </c>
      <c r="N34">
        <f t="shared" ref="N34:N65" si="4">B34</f>
        <v>81705</v>
      </c>
      <c r="O34">
        <f>IF(AND(A34&gt;0,A34&lt;999),IFERROR(VLOOKUP(results0124[[#This Row],[Card]],U14M[],1,FALSE),0),0)</f>
        <v>81705</v>
      </c>
      <c r="P34">
        <f t="shared" ref="P34:P65" si="5">A34</f>
        <v>33</v>
      </c>
      <c r="Q34" s="5">
        <f t="shared" ref="Q34:Q65" si="6">IFERROR(_xlfn.RANK.EQ(H34,$H$2:$H$117,1),999)</f>
        <v>41</v>
      </c>
      <c r="R34" s="5">
        <f t="shared" ref="R34:R65" si="7">IFERROR(_xlfn.RANK.EQ(I34,$I$2:$I$117,1),999)</f>
        <v>35</v>
      </c>
    </row>
    <row r="35" spans="1:18" x14ac:dyDescent="0.25">
      <c r="A35" s="17">
        <v>34</v>
      </c>
      <c r="B35" s="18">
        <v>80682</v>
      </c>
      <c r="C35" s="18">
        <v>67</v>
      </c>
      <c r="D35" s="19" t="s">
        <v>135</v>
      </c>
      <c r="E35" s="19" t="s">
        <v>15</v>
      </c>
      <c r="F35" s="18">
        <v>4</v>
      </c>
      <c r="G35" s="19" t="s">
        <v>16</v>
      </c>
      <c r="H35" s="19">
        <v>45.48</v>
      </c>
      <c r="I35" s="19">
        <v>48.19</v>
      </c>
      <c r="J35" s="19" t="s">
        <v>261</v>
      </c>
      <c r="K35" s="20">
        <v>81.23</v>
      </c>
      <c r="N35">
        <f t="shared" si="4"/>
        <v>80682</v>
      </c>
      <c r="O35">
        <f>IF(AND(A35&gt;0,A35&lt;999),IFERROR(VLOOKUP(results0124[[#This Row],[Card]],U14M[],1,FALSE),0),0)</f>
        <v>80682</v>
      </c>
      <c r="P35">
        <f t="shared" si="5"/>
        <v>34</v>
      </c>
      <c r="Q35" s="5">
        <f t="shared" si="6"/>
        <v>45</v>
      </c>
      <c r="R35" s="5">
        <f t="shared" si="7"/>
        <v>40</v>
      </c>
    </row>
    <row r="36" spans="1:18" x14ac:dyDescent="0.25">
      <c r="A36" s="13">
        <v>35</v>
      </c>
      <c r="B36" s="14">
        <v>82328</v>
      </c>
      <c r="C36" s="14">
        <v>45</v>
      </c>
      <c r="D36" s="15" t="s">
        <v>137</v>
      </c>
      <c r="E36" s="15" t="s">
        <v>15</v>
      </c>
      <c r="F36" s="14">
        <v>4</v>
      </c>
      <c r="G36" s="15" t="s">
        <v>16</v>
      </c>
      <c r="H36" s="15">
        <v>45.75</v>
      </c>
      <c r="I36" s="15">
        <v>48.02</v>
      </c>
      <c r="J36" s="15" t="s">
        <v>262</v>
      </c>
      <c r="K36" s="16">
        <v>82.37</v>
      </c>
      <c r="N36">
        <f t="shared" si="4"/>
        <v>82328</v>
      </c>
      <c r="O36">
        <f>IF(AND(A36&gt;0,A36&lt;999),IFERROR(VLOOKUP(results0124[[#This Row],[Card]],U14M[],1,FALSE),0),0)</f>
        <v>82328</v>
      </c>
      <c r="P36">
        <f t="shared" si="5"/>
        <v>35</v>
      </c>
      <c r="Q36" s="5">
        <f t="shared" si="6"/>
        <v>48</v>
      </c>
      <c r="R36" s="5">
        <f t="shared" si="7"/>
        <v>37</v>
      </c>
    </row>
    <row r="37" spans="1:18" x14ac:dyDescent="0.25">
      <c r="A37" s="17">
        <v>36</v>
      </c>
      <c r="B37" s="18">
        <v>78619</v>
      </c>
      <c r="C37" s="18">
        <v>58</v>
      </c>
      <c r="D37" s="19" t="s">
        <v>121</v>
      </c>
      <c r="E37" s="19" t="s">
        <v>61</v>
      </c>
      <c r="F37" s="18">
        <v>4</v>
      </c>
      <c r="G37" s="19" t="s">
        <v>16</v>
      </c>
      <c r="H37" s="19">
        <v>45.31</v>
      </c>
      <c r="I37" s="19">
        <v>48.49</v>
      </c>
      <c r="J37" s="19" t="s">
        <v>263</v>
      </c>
      <c r="K37" s="20">
        <v>82.71</v>
      </c>
      <c r="N37">
        <f t="shared" si="4"/>
        <v>78619</v>
      </c>
      <c r="O37">
        <f>IF(AND(A37&gt;0,A37&lt;999),IFERROR(VLOOKUP(results0124[[#This Row],[Card]],U14M[],1,FALSE),0),0)</f>
        <v>78619</v>
      </c>
      <c r="P37">
        <f t="shared" si="5"/>
        <v>36</v>
      </c>
      <c r="Q37" s="5">
        <f t="shared" si="6"/>
        <v>39</v>
      </c>
      <c r="R37" s="5">
        <f t="shared" si="7"/>
        <v>43</v>
      </c>
    </row>
    <row r="38" spans="1:18" x14ac:dyDescent="0.25">
      <c r="A38" s="13">
        <v>37</v>
      </c>
      <c r="B38" s="14">
        <v>81879</v>
      </c>
      <c r="C38" s="14">
        <v>68</v>
      </c>
      <c r="D38" s="15" t="s">
        <v>146</v>
      </c>
      <c r="E38" s="15" t="s">
        <v>22</v>
      </c>
      <c r="F38" s="14">
        <v>5</v>
      </c>
      <c r="G38" s="15" t="s">
        <v>16</v>
      </c>
      <c r="H38" s="15">
        <v>46.42</v>
      </c>
      <c r="I38" s="15">
        <v>47.65</v>
      </c>
      <c r="J38" s="15" t="s">
        <v>264</v>
      </c>
      <c r="K38" s="16">
        <v>85.76</v>
      </c>
      <c r="N38">
        <f t="shared" si="4"/>
        <v>81879</v>
      </c>
      <c r="O38">
        <f>IF(AND(A38&gt;0,A38&lt;999),IFERROR(VLOOKUP(results0124[[#This Row],[Card]],U14M[],1,FALSE),0),0)</f>
        <v>81879</v>
      </c>
      <c r="P38">
        <f t="shared" si="5"/>
        <v>37</v>
      </c>
      <c r="Q38" s="5">
        <f t="shared" si="6"/>
        <v>53</v>
      </c>
      <c r="R38" s="5">
        <f t="shared" si="7"/>
        <v>31</v>
      </c>
    </row>
    <row r="39" spans="1:18" x14ac:dyDescent="0.25">
      <c r="A39" s="17">
        <v>38</v>
      </c>
      <c r="B39" s="18">
        <v>86113</v>
      </c>
      <c r="C39" s="18">
        <v>40</v>
      </c>
      <c r="D39" s="19" t="s">
        <v>142</v>
      </c>
      <c r="E39" s="19" t="s">
        <v>101</v>
      </c>
      <c r="F39" s="18">
        <v>5</v>
      </c>
      <c r="G39" s="19" t="s">
        <v>16</v>
      </c>
      <c r="H39" s="19">
        <v>45.65</v>
      </c>
      <c r="I39" s="19">
        <v>48.43</v>
      </c>
      <c r="J39" s="19" t="s">
        <v>265</v>
      </c>
      <c r="K39" s="20">
        <v>85.88</v>
      </c>
      <c r="N39">
        <f t="shared" si="4"/>
        <v>86113</v>
      </c>
      <c r="O39">
        <f>IF(AND(A39&gt;0,A39&lt;999),IFERROR(VLOOKUP(results0124[[#This Row],[Card]],U14M[],1,FALSE),0),0)</f>
        <v>86113</v>
      </c>
      <c r="P39">
        <f t="shared" si="5"/>
        <v>38</v>
      </c>
      <c r="Q39" s="5">
        <f t="shared" si="6"/>
        <v>46</v>
      </c>
      <c r="R39" s="5">
        <f t="shared" si="7"/>
        <v>42</v>
      </c>
    </row>
    <row r="40" spans="1:18" x14ac:dyDescent="0.25">
      <c r="A40" s="13">
        <v>39</v>
      </c>
      <c r="B40" s="14">
        <v>78610</v>
      </c>
      <c r="C40" s="14">
        <v>65</v>
      </c>
      <c r="D40" s="15" t="s">
        <v>133</v>
      </c>
      <c r="E40" s="15" t="s">
        <v>15</v>
      </c>
      <c r="F40" s="14">
        <v>5</v>
      </c>
      <c r="G40" s="15" t="s">
        <v>16</v>
      </c>
      <c r="H40" s="15">
        <v>45.4</v>
      </c>
      <c r="I40" s="15">
        <v>48.77</v>
      </c>
      <c r="J40" s="15" t="s">
        <v>266</v>
      </c>
      <c r="K40" s="16">
        <v>86.9</v>
      </c>
      <c r="N40">
        <f t="shared" si="4"/>
        <v>78610</v>
      </c>
      <c r="O40">
        <f>IF(AND(A40&gt;0,A40&lt;999),IFERROR(VLOOKUP(results0124[[#This Row],[Card]],U14M[],1,FALSE),0),0)</f>
        <v>78610</v>
      </c>
      <c r="P40">
        <f t="shared" si="5"/>
        <v>39</v>
      </c>
      <c r="Q40" s="5">
        <f t="shared" si="6"/>
        <v>43</v>
      </c>
      <c r="R40" s="5">
        <f t="shared" si="7"/>
        <v>46</v>
      </c>
    </row>
    <row r="41" spans="1:18" x14ac:dyDescent="0.25">
      <c r="A41" s="17">
        <v>40</v>
      </c>
      <c r="B41" s="18">
        <v>81459</v>
      </c>
      <c r="C41" s="18">
        <v>114</v>
      </c>
      <c r="D41" s="19" t="s">
        <v>225</v>
      </c>
      <c r="E41" s="19" t="s">
        <v>101</v>
      </c>
      <c r="F41" s="18">
        <v>5</v>
      </c>
      <c r="G41" s="19" t="s">
        <v>16</v>
      </c>
      <c r="H41" s="19">
        <v>46.64</v>
      </c>
      <c r="I41" s="19">
        <v>47.98</v>
      </c>
      <c r="J41" s="19" t="s">
        <v>267</v>
      </c>
      <c r="K41" s="20">
        <v>92</v>
      </c>
      <c r="N41">
        <f t="shared" si="4"/>
        <v>81459</v>
      </c>
      <c r="O41">
        <f>IF(AND(A41&gt;0,A41&lt;999),IFERROR(VLOOKUP(results0124[[#This Row],[Card]],U14M[],1,FALSE),0),0)</f>
        <v>81459</v>
      </c>
      <c r="P41">
        <f t="shared" si="5"/>
        <v>40</v>
      </c>
      <c r="Q41" s="5">
        <f t="shared" si="6"/>
        <v>54</v>
      </c>
      <c r="R41" s="5">
        <f t="shared" si="7"/>
        <v>34</v>
      </c>
    </row>
    <row r="42" spans="1:18" x14ac:dyDescent="0.25">
      <c r="A42" s="13">
        <v>41</v>
      </c>
      <c r="B42" s="14">
        <v>78165</v>
      </c>
      <c r="C42" s="14">
        <v>48</v>
      </c>
      <c r="D42" s="15" t="s">
        <v>119</v>
      </c>
      <c r="E42" s="15" t="s">
        <v>61</v>
      </c>
      <c r="F42" s="14">
        <v>4</v>
      </c>
      <c r="G42" s="15" t="s">
        <v>16</v>
      </c>
      <c r="H42" s="15">
        <v>45.89</v>
      </c>
      <c r="I42" s="15">
        <v>49.12</v>
      </c>
      <c r="J42" s="15" t="s">
        <v>268</v>
      </c>
      <c r="K42" s="16">
        <v>96.41</v>
      </c>
      <c r="N42">
        <f t="shared" si="4"/>
        <v>78165</v>
      </c>
      <c r="O42">
        <f>IF(AND(A42&gt;0,A42&lt;999),IFERROR(VLOOKUP(results0124[[#This Row],[Card]],U14M[],1,FALSE),0),0)</f>
        <v>78165</v>
      </c>
      <c r="P42">
        <f t="shared" si="5"/>
        <v>41</v>
      </c>
      <c r="Q42" s="5">
        <f t="shared" si="6"/>
        <v>50</v>
      </c>
      <c r="R42" s="5">
        <f t="shared" si="7"/>
        <v>49</v>
      </c>
    </row>
    <row r="43" spans="1:18" x14ac:dyDescent="0.25">
      <c r="A43" s="17">
        <v>42</v>
      </c>
      <c r="B43" s="18">
        <v>84722</v>
      </c>
      <c r="C43" s="18">
        <v>84</v>
      </c>
      <c r="D43" s="19" t="s">
        <v>169</v>
      </c>
      <c r="E43" s="19" t="s">
        <v>61</v>
      </c>
      <c r="F43" s="18">
        <v>4</v>
      </c>
      <c r="G43" s="19" t="s">
        <v>16</v>
      </c>
      <c r="H43" s="19">
        <v>46.25</v>
      </c>
      <c r="I43" s="19">
        <v>49.02</v>
      </c>
      <c r="J43" s="19" t="s">
        <v>269</v>
      </c>
      <c r="K43" s="20">
        <v>99.36</v>
      </c>
      <c r="N43">
        <f t="shared" si="4"/>
        <v>84722</v>
      </c>
      <c r="O43">
        <f>IF(AND(A43&gt;0,A43&lt;999),IFERROR(VLOOKUP(results0124[[#This Row],[Card]],U14M[],1,FALSE),0),0)</f>
        <v>84722</v>
      </c>
      <c r="P43">
        <f t="shared" si="5"/>
        <v>42</v>
      </c>
      <c r="Q43" s="5">
        <f t="shared" si="6"/>
        <v>51</v>
      </c>
      <c r="R43" s="5">
        <f t="shared" si="7"/>
        <v>47</v>
      </c>
    </row>
    <row r="44" spans="1:18" x14ac:dyDescent="0.25">
      <c r="A44" s="13">
        <v>43</v>
      </c>
      <c r="B44" s="14">
        <v>81481</v>
      </c>
      <c r="C44" s="14">
        <v>71</v>
      </c>
      <c r="D44" s="15" t="s">
        <v>182</v>
      </c>
      <c r="E44" s="15" t="s">
        <v>31</v>
      </c>
      <c r="F44" s="14">
        <v>4</v>
      </c>
      <c r="G44" s="15" t="s">
        <v>16</v>
      </c>
      <c r="H44" s="15">
        <v>45.86</v>
      </c>
      <c r="I44" s="15">
        <v>49.77</v>
      </c>
      <c r="J44" s="15" t="s">
        <v>270</v>
      </c>
      <c r="K44" s="16">
        <v>103.44</v>
      </c>
      <c r="N44">
        <f t="shared" si="4"/>
        <v>81481</v>
      </c>
      <c r="O44">
        <f>IF(AND(A44&gt;0,A44&lt;999),IFERROR(VLOOKUP(results0124[[#This Row],[Card]],U14M[],1,FALSE),0),0)</f>
        <v>81481</v>
      </c>
      <c r="P44">
        <f t="shared" si="5"/>
        <v>43</v>
      </c>
      <c r="Q44" s="5">
        <f t="shared" si="6"/>
        <v>49</v>
      </c>
      <c r="R44" s="5">
        <f t="shared" si="7"/>
        <v>55</v>
      </c>
    </row>
    <row r="45" spans="1:18" x14ac:dyDescent="0.25">
      <c r="A45" s="17">
        <v>44</v>
      </c>
      <c r="B45" s="18">
        <v>84752</v>
      </c>
      <c r="C45" s="18">
        <v>72</v>
      </c>
      <c r="D45" s="19" t="s">
        <v>140</v>
      </c>
      <c r="E45" s="19" t="s">
        <v>15</v>
      </c>
      <c r="F45" s="18">
        <v>5</v>
      </c>
      <c r="G45" s="19" t="s">
        <v>16</v>
      </c>
      <c r="H45" s="19">
        <v>46.73</v>
      </c>
      <c r="I45" s="19">
        <v>49.21</v>
      </c>
      <c r="J45" s="19" t="s">
        <v>271</v>
      </c>
      <c r="K45" s="20">
        <v>106.95</v>
      </c>
      <c r="N45">
        <f t="shared" si="4"/>
        <v>84752</v>
      </c>
      <c r="O45">
        <f>IF(AND(A45&gt;0,A45&lt;999),IFERROR(VLOOKUP(results0124[[#This Row],[Card]],U14M[],1,FALSE),0),0)</f>
        <v>84752</v>
      </c>
      <c r="P45">
        <f t="shared" si="5"/>
        <v>44</v>
      </c>
      <c r="Q45" s="5">
        <f t="shared" si="6"/>
        <v>56</v>
      </c>
      <c r="R45" s="5">
        <f t="shared" si="7"/>
        <v>50</v>
      </c>
    </row>
    <row r="46" spans="1:18" x14ac:dyDescent="0.25">
      <c r="A46" s="13">
        <v>45</v>
      </c>
      <c r="B46" s="14">
        <v>81139</v>
      </c>
      <c r="C46" s="14">
        <v>33</v>
      </c>
      <c r="D46" s="15" t="s">
        <v>177</v>
      </c>
      <c r="E46" s="15" t="s">
        <v>22</v>
      </c>
      <c r="F46" s="14">
        <v>4</v>
      </c>
      <c r="G46" s="15" t="s">
        <v>16</v>
      </c>
      <c r="H46" s="15">
        <v>46.73</v>
      </c>
      <c r="I46" s="15">
        <v>49.28</v>
      </c>
      <c r="J46" s="15" t="s">
        <v>272</v>
      </c>
      <c r="K46" s="16">
        <v>107.74</v>
      </c>
      <c r="N46">
        <f t="shared" si="4"/>
        <v>81139</v>
      </c>
      <c r="O46">
        <f>IF(AND(A46&gt;0,A46&lt;999),IFERROR(VLOOKUP(results0124[[#This Row],[Card]],U14M[],1,FALSE),0),0)</f>
        <v>81139</v>
      </c>
      <c r="P46">
        <f t="shared" si="5"/>
        <v>45</v>
      </c>
      <c r="Q46" s="5">
        <f t="shared" si="6"/>
        <v>56</v>
      </c>
      <c r="R46" s="5">
        <f t="shared" si="7"/>
        <v>51</v>
      </c>
    </row>
    <row r="47" spans="1:18" x14ac:dyDescent="0.25">
      <c r="A47" s="17">
        <v>46</v>
      </c>
      <c r="B47" s="18">
        <v>81455</v>
      </c>
      <c r="C47" s="18">
        <v>69</v>
      </c>
      <c r="D47" s="19" t="s">
        <v>171</v>
      </c>
      <c r="E47" s="19" t="s">
        <v>19</v>
      </c>
      <c r="F47" s="18">
        <v>5</v>
      </c>
      <c r="G47" s="19" t="s">
        <v>16</v>
      </c>
      <c r="H47" s="19">
        <v>46.69</v>
      </c>
      <c r="I47" s="19">
        <v>49.51</v>
      </c>
      <c r="J47" s="19" t="s">
        <v>273</v>
      </c>
      <c r="K47" s="20">
        <v>109.9</v>
      </c>
      <c r="N47">
        <f t="shared" si="4"/>
        <v>81455</v>
      </c>
      <c r="O47">
        <f>IF(AND(A47&gt;0,A47&lt;999),IFERROR(VLOOKUP(results0124[[#This Row],[Card]],U14M[],1,FALSE),0),0)</f>
        <v>81455</v>
      </c>
      <c r="P47">
        <f t="shared" si="5"/>
        <v>46</v>
      </c>
      <c r="Q47" s="5">
        <f t="shared" si="6"/>
        <v>55</v>
      </c>
      <c r="R47" s="5">
        <f t="shared" si="7"/>
        <v>53</v>
      </c>
    </row>
    <row r="48" spans="1:18" x14ac:dyDescent="0.25">
      <c r="A48" s="13">
        <v>47</v>
      </c>
      <c r="B48" s="14">
        <v>78164</v>
      </c>
      <c r="C48" s="14">
        <v>75</v>
      </c>
      <c r="D48" s="15" t="s">
        <v>129</v>
      </c>
      <c r="E48" s="15" t="s">
        <v>61</v>
      </c>
      <c r="F48" s="14">
        <v>5</v>
      </c>
      <c r="G48" s="15" t="s">
        <v>16</v>
      </c>
      <c r="H48" s="15">
        <v>46.99</v>
      </c>
      <c r="I48" s="15">
        <v>49.31</v>
      </c>
      <c r="J48" s="15" t="s">
        <v>274</v>
      </c>
      <c r="K48" s="16">
        <v>111.03</v>
      </c>
      <c r="N48">
        <f t="shared" si="4"/>
        <v>78164</v>
      </c>
      <c r="O48">
        <f>IF(AND(A48&gt;0,A48&lt;999),IFERROR(VLOOKUP(results0124[[#This Row],[Card]],U14M[],1,FALSE),0),0)</f>
        <v>78164</v>
      </c>
      <c r="P48">
        <f t="shared" si="5"/>
        <v>47</v>
      </c>
      <c r="Q48" s="5">
        <f t="shared" si="6"/>
        <v>61</v>
      </c>
      <c r="R48" s="5">
        <f t="shared" si="7"/>
        <v>52</v>
      </c>
    </row>
    <row r="49" spans="1:18" x14ac:dyDescent="0.25">
      <c r="A49" s="17">
        <v>48</v>
      </c>
      <c r="B49" s="18">
        <v>78181</v>
      </c>
      <c r="C49" s="18">
        <v>80</v>
      </c>
      <c r="D49" s="19" t="s">
        <v>138</v>
      </c>
      <c r="E49" s="19" t="s">
        <v>61</v>
      </c>
      <c r="F49" s="18">
        <v>4</v>
      </c>
      <c r="G49" s="19" t="s">
        <v>16</v>
      </c>
      <c r="H49" s="19">
        <v>47.34</v>
      </c>
      <c r="I49" s="19">
        <v>49.05</v>
      </c>
      <c r="J49" s="19" t="s">
        <v>275</v>
      </c>
      <c r="K49" s="20">
        <v>112.05</v>
      </c>
      <c r="N49">
        <f t="shared" si="4"/>
        <v>78181</v>
      </c>
      <c r="O49">
        <f>IF(AND(A49&gt;0,A49&lt;999),IFERROR(VLOOKUP(results0124[[#This Row],[Card]],U14M[],1,FALSE),0),0)</f>
        <v>78181</v>
      </c>
      <c r="P49">
        <f t="shared" si="5"/>
        <v>48</v>
      </c>
      <c r="Q49" s="5">
        <f t="shared" si="6"/>
        <v>65</v>
      </c>
      <c r="R49" s="5">
        <f t="shared" si="7"/>
        <v>48</v>
      </c>
    </row>
    <row r="50" spans="1:18" x14ac:dyDescent="0.25">
      <c r="A50" s="13">
        <v>49</v>
      </c>
      <c r="B50" s="14">
        <v>78680</v>
      </c>
      <c r="C50" s="14">
        <v>51</v>
      </c>
      <c r="D50" s="15" t="s">
        <v>127</v>
      </c>
      <c r="E50" s="15" t="s">
        <v>22</v>
      </c>
      <c r="F50" s="14">
        <v>5</v>
      </c>
      <c r="G50" s="15" t="s">
        <v>16</v>
      </c>
      <c r="H50" s="15">
        <v>46.93</v>
      </c>
      <c r="I50" s="15">
        <v>49.51</v>
      </c>
      <c r="J50" s="15" t="s">
        <v>276</v>
      </c>
      <c r="K50" s="16">
        <v>112.62</v>
      </c>
      <c r="N50">
        <f t="shared" si="4"/>
        <v>78680</v>
      </c>
      <c r="O50">
        <f>IF(AND(A50&gt;0,A50&lt;999),IFERROR(VLOOKUP(results0124[[#This Row],[Card]],U14M[],1,FALSE),0),0)</f>
        <v>78680</v>
      </c>
      <c r="P50">
        <f t="shared" si="5"/>
        <v>49</v>
      </c>
      <c r="Q50" s="5">
        <f t="shared" si="6"/>
        <v>59</v>
      </c>
      <c r="R50" s="5">
        <f t="shared" si="7"/>
        <v>53</v>
      </c>
    </row>
    <row r="51" spans="1:18" x14ac:dyDescent="0.25">
      <c r="A51" s="17">
        <v>50</v>
      </c>
      <c r="B51" s="18">
        <v>76572</v>
      </c>
      <c r="C51" s="18">
        <v>70</v>
      </c>
      <c r="D51" s="19" t="s">
        <v>109</v>
      </c>
      <c r="E51" s="19" t="s">
        <v>38</v>
      </c>
      <c r="F51" s="18">
        <v>4</v>
      </c>
      <c r="G51" s="19" t="s">
        <v>16</v>
      </c>
      <c r="H51" s="19">
        <v>44.91</v>
      </c>
      <c r="I51" s="19">
        <v>51.73</v>
      </c>
      <c r="J51" s="19" t="s">
        <v>277</v>
      </c>
      <c r="K51" s="20">
        <v>114.88</v>
      </c>
      <c r="N51">
        <f t="shared" si="4"/>
        <v>76572</v>
      </c>
      <c r="O51">
        <f>IF(AND(A51&gt;0,A51&lt;999),IFERROR(VLOOKUP(results0124[[#This Row],[Card]],U14M[],1,FALSE),0),0)</f>
        <v>76572</v>
      </c>
      <c r="P51">
        <f t="shared" si="5"/>
        <v>50</v>
      </c>
      <c r="Q51" s="5">
        <f t="shared" si="6"/>
        <v>35</v>
      </c>
      <c r="R51" s="5">
        <f t="shared" si="7"/>
        <v>76</v>
      </c>
    </row>
    <row r="52" spans="1:18" x14ac:dyDescent="0.25">
      <c r="A52" s="13">
        <v>51</v>
      </c>
      <c r="B52" s="14">
        <v>86143</v>
      </c>
      <c r="C52" s="14">
        <v>83</v>
      </c>
      <c r="D52" s="15" t="s">
        <v>125</v>
      </c>
      <c r="E52" s="15" t="s">
        <v>42</v>
      </c>
      <c r="F52" s="14">
        <v>4</v>
      </c>
      <c r="G52" s="15" t="s">
        <v>16</v>
      </c>
      <c r="H52" s="15">
        <v>46.3</v>
      </c>
      <c r="I52" s="15">
        <v>50.46</v>
      </c>
      <c r="J52" s="15" t="s">
        <v>278</v>
      </c>
      <c r="K52" s="16">
        <v>116.24</v>
      </c>
      <c r="N52">
        <f t="shared" si="4"/>
        <v>86143</v>
      </c>
      <c r="O52">
        <f>IF(AND(A52&gt;0,A52&lt;999),IFERROR(VLOOKUP(results0124[[#This Row],[Card]],U14M[],1,FALSE),0),0)</f>
        <v>86143</v>
      </c>
      <c r="P52">
        <f t="shared" si="5"/>
        <v>51</v>
      </c>
      <c r="Q52" s="5">
        <f t="shared" si="6"/>
        <v>52</v>
      </c>
      <c r="R52" s="5">
        <f t="shared" si="7"/>
        <v>62</v>
      </c>
    </row>
    <row r="53" spans="1:18" x14ac:dyDescent="0.25">
      <c r="A53" s="17">
        <v>52</v>
      </c>
      <c r="B53" s="18">
        <v>80724</v>
      </c>
      <c r="C53" s="18">
        <v>74</v>
      </c>
      <c r="D53" s="19" t="s">
        <v>167</v>
      </c>
      <c r="E53" s="19" t="s">
        <v>22</v>
      </c>
      <c r="F53" s="18">
        <v>4</v>
      </c>
      <c r="G53" s="19" t="s">
        <v>16</v>
      </c>
      <c r="H53" s="19">
        <v>46.87</v>
      </c>
      <c r="I53" s="19">
        <v>49.91</v>
      </c>
      <c r="J53" s="19" t="s">
        <v>279</v>
      </c>
      <c r="K53" s="20">
        <v>116.47</v>
      </c>
      <c r="N53">
        <f t="shared" si="4"/>
        <v>80724</v>
      </c>
      <c r="O53">
        <f>IF(AND(A53&gt;0,A53&lt;999),IFERROR(VLOOKUP(results0124[[#This Row],[Card]],U14M[],1,FALSE),0),0)</f>
        <v>80724</v>
      </c>
      <c r="P53">
        <f t="shared" si="5"/>
        <v>52</v>
      </c>
      <c r="Q53" s="5">
        <f t="shared" si="6"/>
        <v>58</v>
      </c>
      <c r="R53" s="5">
        <f t="shared" si="7"/>
        <v>57</v>
      </c>
    </row>
    <row r="54" spans="1:18" x14ac:dyDescent="0.25">
      <c r="A54" s="13">
        <v>53</v>
      </c>
      <c r="B54" s="14">
        <v>77214</v>
      </c>
      <c r="C54" s="14">
        <v>62</v>
      </c>
      <c r="D54" s="15" t="s">
        <v>154</v>
      </c>
      <c r="E54" s="15" t="s">
        <v>155</v>
      </c>
      <c r="F54" s="14">
        <v>5</v>
      </c>
      <c r="G54" s="15" t="s">
        <v>16</v>
      </c>
      <c r="H54" s="15">
        <v>47.3</v>
      </c>
      <c r="I54" s="15">
        <v>49.88</v>
      </c>
      <c r="J54" s="15" t="s">
        <v>280</v>
      </c>
      <c r="K54" s="16">
        <v>121</v>
      </c>
      <c r="N54">
        <f t="shared" si="4"/>
        <v>77214</v>
      </c>
      <c r="O54">
        <f>IF(AND(A54&gt;0,A54&lt;999),IFERROR(VLOOKUP(results0124[[#This Row],[Card]],U14M[],1,FALSE),0),0)</f>
        <v>77214</v>
      </c>
      <c r="P54">
        <f t="shared" si="5"/>
        <v>53</v>
      </c>
      <c r="Q54" s="5">
        <f t="shared" si="6"/>
        <v>63</v>
      </c>
      <c r="R54" s="5">
        <f t="shared" si="7"/>
        <v>56</v>
      </c>
    </row>
    <row r="55" spans="1:18" x14ac:dyDescent="0.25">
      <c r="A55" s="17">
        <v>54</v>
      </c>
      <c r="B55" s="18">
        <v>82403</v>
      </c>
      <c r="C55" s="18">
        <v>59</v>
      </c>
      <c r="D55" s="19" t="s">
        <v>175</v>
      </c>
      <c r="E55" s="19" t="s">
        <v>19</v>
      </c>
      <c r="F55" s="18">
        <v>5</v>
      </c>
      <c r="G55" s="19" t="s">
        <v>16</v>
      </c>
      <c r="H55" s="19">
        <v>47.3</v>
      </c>
      <c r="I55" s="19">
        <v>50.46</v>
      </c>
      <c r="J55" s="19" t="s">
        <v>281</v>
      </c>
      <c r="K55" s="20">
        <v>127.57</v>
      </c>
      <c r="N55">
        <f t="shared" si="4"/>
        <v>82403</v>
      </c>
      <c r="O55">
        <f>IF(AND(A55&gt;0,A55&lt;999),IFERROR(VLOOKUP(results0124[[#This Row],[Card]],U14M[],1,FALSE),0),0)</f>
        <v>82403</v>
      </c>
      <c r="P55">
        <f t="shared" si="5"/>
        <v>54</v>
      </c>
      <c r="Q55" s="5">
        <f t="shared" si="6"/>
        <v>63</v>
      </c>
      <c r="R55" s="5">
        <f t="shared" si="7"/>
        <v>62</v>
      </c>
    </row>
    <row r="56" spans="1:18" x14ac:dyDescent="0.25">
      <c r="A56" s="13">
        <v>55</v>
      </c>
      <c r="B56" s="14">
        <v>82143</v>
      </c>
      <c r="C56" s="14">
        <v>5</v>
      </c>
      <c r="D56" s="15" t="s">
        <v>111</v>
      </c>
      <c r="E56" s="15" t="s">
        <v>112</v>
      </c>
      <c r="F56" s="14">
        <v>5</v>
      </c>
      <c r="G56" s="15" t="s">
        <v>16</v>
      </c>
      <c r="H56" s="15">
        <v>45.7</v>
      </c>
      <c r="I56" s="15">
        <v>52.25</v>
      </c>
      <c r="J56" s="15" t="s">
        <v>282</v>
      </c>
      <c r="K56" s="16">
        <v>129.72</v>
      </c>
      <c r="N56">
        <f t="shared" si="4"/>
        <v>82143</v>
      </c>
      <c r="O56">
        <f>IF(AND(A56&gt;0,A56&lt;999),IFERROR(VLOOKUP(results0124[[#This Row],[Card]],U14M[],1,FALSE),0),0)</f>
        <v>82143</v>
      </c>
      <c r="P56">
        <f t="shared" si="5"/>
        <v>55</v>
      </c>
      <c r="Q56" s="5">
        <f t="shared" si="6"/>
        <v>47</v>
      </c>
      <c r="R56" s="5">
        <f t="shared" si="7"/>
        <v>80</v>
      </c>
    </row>
    <row r="57" spans="1:18" x14ac:dyDescent="0.25">
      <c r="A57" s="17">
        <v>56</v>
      </c>
      <c r="B57" s="18">
        <v>78178</v>
      </c>
      <c r="C57" s="18">
        <v>78</v>
      </c>
      <c r="D57" s="19" t="s">
        <v>194</v>
      </c>
      <c r="E57" s="19" t="s">
        <v>61</v>
      </c>
      <c r="F57" s="18">
        <v>4</v>
      </c>
      <c r="G57" s="19" t="s">
        <v>16</v>
      </c>
      <c r="H57" s="19">
        <v>47.39</v>
      </c>
      <c r="I57" s="19">
        <v>50.63</v>
      </c>
      <c r="J57" s="19" t="s">
        <v>283</v>
      </c>
      <c r="K57" s="20">
        <v>130.52000000000001</v>
      </c>
      <c r="N57">
        <f t="shared" si="4"/>
        <v>78178</v>
      </c>
      <c r="O57">
        <f>IF(AND(A57&gt;0,A57&lt;999),IFERROR(VLOOKUP(results0124[[#This Row],[Card]],U14M[],1,FALSE),0),0)</f>
        <v>78178</v>
      </c>
      <c r="P57">
        <f t="shared" si="5"/>
        <v>56</v>
      </c>
      <c r="Q57" s="5">
        <f t="shared" si="6"/>
        <v>67</v>
      </c>
      <c r="R57" s="5">
        <f t="shared" si="7"/>
        <v>66</v>
      </c>
    </row>
    <row r="58" spans="1:18" x14ac:dyDescent="0.25">
      <c r="A58" s="13">
        <v>56</v>
      </c>
      <c r="B58" s="14">
        <v>84692</v>
      </c>
      <c r="C58" s="14">
        <v>56</v>
      </c>
      <c r="D58" s="15" t="s">
        <v>173</v>
      </c>
      <c r="E58" s="15" t="s">
        <v>22</v>
      </c>
      <c r="F58" s="14">
        <v>4</v>
      </c>
      <c r="G58" s="15" t="s">
        <v>16</v>
      </c>
      <c r="H58" s="15">
        <v>47.37</v>
      </c>
      <c r="I58" s="15">
        <v>50.65</v>
      </c>
      <c r="J58" s="15" t="s">
        <v>283</v>
      </c>
      <c r="K58" s="16">
        <v>130.52000000000001</v>
      </c>
      <c r="N58">
        <f t="shared" si="4"/>
        <v>84692</v>
      </c>
      <c r="O58">
        <f>IF(AND(A58&gt;0,A58&lt;999),IFERROR(VLOOKUP(results0124[[#This Row],[Card]],U14M[],1,FALSE),0),0)</f>
        <v>84692</v>
      </c>
      <c r="P58">
        <f t="shared" si="5"/>
        <v>56</v>
      </c>
      <c r="Q58" s="5">
        <f t="shared" si="6"/>
        <v>66</v>
      </c>
      <c r="R58" s="5">
        <f t="shared" si="7"/>
        <v>67</v>
      </c>
    </row>
    <row r="59" spans="1:18" x14ac:dyDescent="0.25">
      <c r="A59" s="17">
        <v>58</v>
      </c>
      <c r="B59" s="18">
        <v>88391</v>
      </c>
      <c r="C59" s="18">
        <v>111</v>
      </c>
      <c r="D59" s="19" t="s">
        <v>284</v>
      </c>
      <c r="E59" s="19" t="s">
        <v>155</v>
      </c>
      <c r="F59" s="18">
        <v>5</v>
      </c>
      <c r="G59" s="19" t="s">
        <v>16</v>
      </c>
      <c r="H59" s="19">
        <v>47.93</v>
      </c>
      <c r="I59" s="19">
        <v>50.22</v>
      </c>
      <c r="J59" s="19" t="s">
        <v>285</v>
      </c>
      <c r="K59" s="20">
        <v>131.99</v>
      </c>
      <c r="N59">
        <f t="shared" si="4"/>
        <v>88391</v>
      </c>
      <c r="O59">
        <f>IF(AND(A59&gt;0,A59&lt;999),IFERROR(VLOOKUP(results0124[[#This Row],[Card]],U14M[],1,FALSE),0),0)</f>
        <v>88391</v>
      </c>
      <c r="P59">
        <f t="shared" si="5"/>
        <v>58</v>
      </c>
      <c r="Q59" s="5">
        <f t="shared" si="6"/>
        <v>75</v>
      </c>
      <c r="R59" s="5">
        <f t="shared" si="7"/>
        <v>58</v>
      </c>
    </row>
    <row r="60" spans="1:18" x14ac:dyDescent="0.25">
      <c r="A60" s="13">
        <v>59</v>
      </c>
      <c r="B60" s="14">
        <v>80630</v>
      </c>
      <c r="C60" s="14">
        <v>90</v>
      </c>
      <c r="D60" s="15" t="s">
        <v>188</v>
      </c>
      <c r="E60" s="15" t="s">
        <v>19</v>
      </c>
      <c r="F60" s="14">
        <v>4</v>
      </c>
      <c r="G60" s="15" t="s">
        <v>16</v>
      </c>
      <c r="H60" s="15">
        <v>47.83</v>
      </c>
      <c r="I60" s="15">
        <v>50.4</v>
      </c>
      <c r="J60" s="15" t="s">
        <v>286</v>
      </c>
      <c r="K60" s="16">
        <v>132.88999999999999</v>
      </c>
      <c r="N60">
        <f t="shared" si="4"/>
        <v>80630</v>
      </c>
      <c r="O60">
        <f>IF(AND(A60&gt;0,A60&lt;999),IFERROR(VLOOKUP(results0124[[#This Row],[Card]],U14M[],1,FALSE),0),0)</f>
        <v>80630</v>
      </c>
      <c r="P60">
        <f t="shared" si="5"/>
        <v>59</v>
      </c>
      <c r="Q60" s="5">
        <f t="shared" si="6"/>
        <v>71</v>
      </c>
      <c r="R60" s="5">
        <f t="shared" si="7"/>
        <v>61</v>
      </c>
    </row>
    <row r="61" spans="1:18" x14ac:dyDescent="0.25">
      <c r="A61" s="17">
        <v>60</v>
      </c>
      <c r="B61" s="18">
        <v>81491</v>
      </c>
      <c r="C61" s="18">
        <v>54</v>
      </c>
      <c r="D61" s="19" t="s">
        <v>105</v>
      </c>
      <c r="E61" s="19" t="s">
        <v>22</v>
      </c>
      <c r="F61" s="18">
        <v>5</v>
      </c>
      <c r="G61" s="19" t="s">
        <v>16</v>
      </c>
      <c r="H61" s="19">
        <v>44.78</v>
      </c>
      <c r="I61" s="19">
        <v>53.53</v>
      </c>
      <c r="J61" s="19" t="s">
        <v>287</v>
      </c>
      <c r="K61" s="20">
        <v>133.80000000000001</v>
      </c>
      <c r="N61">
        <f t="shared" si="4"/>
        <v>81491</v>
      </c>
      <c r="O61">
        <f>IF(AND(A61&gt;0,A61&lt;999),IFERROR(VLOOKUP(results0124[[#This Row],[Card]],U14M[],1,FALSE),0),0)</f>
        <v>81491</v>
      </c>
      <c r="P61">
        <f t="shared" si="5"/>
        <v>60</v>
      </c>
      <c r="Q61" s="5">
        <f t="shared" si="6"/>
        <v>33</v>
      </c>
      <c r="R61" s="5">
        <f t="shared" si="7"/>
        <v>89</v>
      </c>
    </row>
    <row r="62" spans="1:18" x14ac:dyDescent="0.25">
      <c r="A62" s="13">
        <v>60</v>
      </c>
      <c r="B62" s="14">
        <v>80605</v>
      </c>
      <c r="C62" s="14">
        <v>15</v>
      </c>
      <c r="D62" s="15" t="s">
        <v>162</v>
      </c>
      <c r="E62" s="15" t="s">
        <v>163</v>
      </c>
      <c r="F62" s="14">
        <v>5</v>
      </c>
      <c r="G62" s="15" t="s">
        <v>16</v>
      </c>
      <c r="H62" s="15">
        <v>47.96</v>
      </c>
      <c r="I62" s="15">
        <v>50.35</v>
      </c>
      <c r="J62" s="15" t="s">
        <v>287</v>
      </c>
      <c r="K62" s="16">
        <v>133.80000000000001</v>
      </c>
      <c r="N62">
        <f t="shared" si="4"/>
        <v>80605</v>
      </c>
      <c r="O62">
        <f>IF(AND(A62&gt;0,A62&lt;999),IFERROR(VLOOKUP(results0124[[#This Row],[Card]],U14M[],1,FALSE),0),0)</f>
        <v>80605</v>
      </c>
      <c r="P62">
        <f t="shared" si="5"/>
        <v>60</v>
      </c>
      <c r="Q62" s="5">
        <f t="shared" si="6"/>
        <v>76</v>
      </c>
      <c r="R62" s="5">
        <f t="shared" si="7"/>
        <v>60</v>
      </c>
    </row>
    <row r="63" spans="1:18" x14ac:dyDescent="0.25">
      <c r="A63" s="17">
        <v>62</v>
      </c>
      <c r="B63" s="18">
        <v>76510</v>
      </c>
      <c r="C63" s="18">
        <v>92</v>
      </c>
      <c r="D63" s="19" t="s">
        <v>186</v>
      </c>
      <c r="E63" s="19" t="s">
        <v>38</v>
      </c>
      <c r="F63" s="18">
        <v>4</v>
      </c>
      <c r="G63" s="19" t="s">
        <v>16</v>
      </c>
      <c r="H63" s="19">
        <v>47.83</v>
      </c>
      <c r="I63" s="19">
        <v>50.67</v>
      </c>
      <c r="J63" s="19" t="s">
        <v>288</v>
      </c>
      <c r="K63" s="20">
        <v>135.94999999999999</v>
      </c>
      <c r="N63">
        <f t="shared" si="4"/>
        <v>76510</v>
      </c>
      <c r="O63">
        <f>IF(AND(A63&gt;0,A63&lt;999),IFERROR(VLOOKUP(results0124[[#This Row],[Card]],U14M[],1,FALSE),0),0)</f>
        <v>76510</v>
      </c>
      <c r="P63">
        <f t="shared" si="5"/>
        <v>62</v>
      </c>
      <c r="Q63" s="5">
        <f t="shared" si="6"/>
        <v>71</v>
      </c>
      <c r="R63" s="5">
        <f t="shared" si="7"/>
        <v>68</v>
      </c>
    </row>
    <row r="64" spans="1:18" x14ac:dyDescent="0.25">
      <c r="A64" s="13">
        <v>63</v>
      </c>
      <c r="B64" s="14">
        <v>79148</v>
      </c>
      <c r="C64" s="14">
        <v>76</v>
      </c>
      <c r="D64" s="15" t="s">
        <v>191</v>
      </c>
      <c r="E64" s="15" t="s">
        <v>31</v>
      </c>
      <c r="F64" s="14">
        <v>4</v>
      </c>
      <c r="G64" s="15" t="s">
        <v>16</v>
      </c>
      <c r="H64" s="15">
        <v>46.98</v>
      </c>
      <c r="I64" s="15">
        <v>51.57</v>
      </c>
      <c r="J64" s="15" t="s">
        <v>289</v>
      </c>
      <c r="K64" s="16">
        <v>136.52000000000001</v>
      </c>
      <c r="N64">
        <f t="shared" si="4"/>
        <v>79148</v>
      </c>
      <c r="O64">
        <f>IF(AND(A64&gt;0,A64&lt;999),IFERROR(VLOOKUP(results0124[[#This Row],[Card]],U14M[],1,FALSE),0),0)</f>
        <v>79148</v>
      </c>
      <c r="P64">
        <f t="shared" si="5"/>
        <v>63</v>
      </c>
      <c r="Q64" s="5">
        <f t="shared" si="6"/>
        <v>60</v>
      </c>
      <c r="R64" s="5">
        <f t="shared" si="7"/>
        <v>75</v>
      </c>
    </row>
    <row r="65" spans="1:18" x14ac:dyDescent="0.25">
      <c r="A65" s="17">
        <v>64</v>
      </c>
      <c r="B65" s="18">
        <v>80714</v>
      </c>
      <c r="C65" s="18">
        <v>55</v>
      </c>
      <c r="D65" s="19" t="s">
        <v>152</v>
      </c>
      <c r="E65" s="19" t="s">
        <v>22</v>
      </c>
      <c r="F65" s="18">
        <v>5</v>
      </c>
      <c r="G65" s="19" t="s">
        <v>16</v>
      </c>
      <c r="H65" s="19">
        <v>47.91</v>
      </c>
      <c r="I65" s="19">
        <v>50.91</v>
      </c>
      <c r="J65" s="19" t="s">
        <v>290</v>
      </c>
      <c r="K65" s="20">
        <v>139.58000000000001</v>
      </c>
      <c r="N65">
        <f t="shared" si="4"/>
        <v>80714</v>
      </c>
      <c r="O65">
        <f>IF(AND(A65&gt;0,A65&lt;999),IFERROR(VLOOKUP(results0124[[#This Row],[Card]],U14M[],1,FALSE),0),0)</f>
        <v>80714</v>
      </c>
      <c r="P65">
        <f t="shared" si="5"/>
        <v>64</v>
      </c>
      <c r="Q65" s="5">
        <f t="shared" si="6"/>
        <v>73</v>
      </c>
      <c r="R65" s="5">
        <f t="shared" si="7"/>
        <v>70</v>
      </c>
    </row>
    <row r="66" spans="1:18" x14ac:dyDescent="0.25">
      <c r="A66" s="13">
        <v>65</v>
      </c>
      <c r="B66" s="14">
        <v>78783</v>
      </c>
      <c r="C66" s="14">
        <v>101</v>
      </c>
      <c r="D66" s="15" t="s">
        <v>198</v>
      </c>
      <c r="E66" s="15" t="s">
        <v>47</v>
      </c>
      <c r="F66" s="14">
        <v>5</v>
      </c>
      <c r="G66" s="15" t="s">
        <v>16</v>
      </c>
      <c r="H66" s="15">
        <v>48.52</v>
      </c>
      <c r="I66" s="15">
        <v>50.8</v>
      </c>
      <c r="J66" s="15" t="s">
        <v>291</v>
      </c>
      <c r="K66" s="16">
        <v>145.24</v>
      </c>
      <c r="N66">
        <f t="shared" ref="N66:N97" si="8">B66</f>
        <v>78783</v>
      </c>
      <c r="O66">
        <f>IF(AND(A66&gt;0,A66&lt;999),IFERROR(VLOOKUP(results0124[[#This Row],[Card]],U14M[],1,FALSE),0),0)</f>
        <v>78783</v>
      </c>
      <c r="P66">
        <f t="shared" ref="P66:P97" si="9">A66</f>
        <v>65</v>
      </c>
      <c r="Q66" s="5">
        <f t="shared" ref="Q66:Q97" si="10">IFERROR(_xlfn.RANK.EQ(H66,$H$2:$H$117,1),999)</f>
        <v>80</v>
      </c>
      <c r="R66" s="5">
        <f t="shared" ref="R66:R97" si="11">IFERROR(_xlfn.RANK.EQ(I66,$I$2:$I$117,1),999)</f>
        <v>69</v>
      </c>
    </row>
    <row r="67" spans="1:18" x14ac:dyDescent="0.25">
      <c r="A67" s="17">
        <v>66</v>
      </c>
      <c r="B67" s="18">
        <v>80615</v>
      </c>
      <c r="C67" s="18">
        <v>81</v>
      </c>
      <c r="D67" s="19" t="s">
        <v>292</v>
      </c>
      <c r="E67" s="19" t="s">
        <v>19</v>
      </c>
      <c r="F67" s="18">
        <v>4</v>
      </c>
      <c r="G67" s="19" t="s">
        <v>16</v>
      </c>
      <c r="H67" s="19">
        <v>48.35</v>
      </c>
      <c r="I67" s="19">
        <v>51.36</v>
      </c>
      <c r="J67" s="19" t="s">
        <v>293</v>
      </c>
      <c r="K67" s="20">
        <v>149.66</v>
      </c>
      <c r="N67">
        <f t="shared" si="8"/>
        <v>80615</v>
      </c>
      <c r="O67">
        <f>IF(AND(A67&gt;0,A67&lt;999),IFERROR(VLOOKUP(results0124[[#This Row],[Card]],U14M[],1,FALSE),0),0)</f>
        <v>80615</v>
      </c>
      <c r="P67">
        <f t="shared" si="9"/>
        <v>66</v>
      </c>
      <c r="Q67" s="5">
        <f t="shared" si="10"/>
        <v>79</v>
      </c>
      <c r="R67" s="5">
        <f t="shared" si="11"/>
        <v>72</v>
      </c>
    </row>
    <row r="68" spans="1:18" x14ac:dyDescent="0.25">
      <c r="A68" s="13">
        <v>67</v>
      </c>
      <c r="B68" s="14">
        <v>86207</v>
      </c>
      <c r="C68" s="14">
        <v>95</v>
      </c>
      <c r="D68" s="15" t="s">
        <v>294</v>
      </c>
      <c r="E68" s="15" t="s">
        <v>54</v>
      </c>
      <c r="F68" s="14">
        <v>5</v>
      </c>
      <c r="G68" s="15" t="s">
        <v>16</v>
      </c>
      <c r="H68" s="15">
        <v>48.57</v>
      </c>
      <c r="I68" s="15">
        <v>51.51</v>
      </c>
      <c r="J68" s="15" t="s">
        <v>296</v>
      </c>
      <c r="K68" s="16">
        <v>153.85</v>
      </c>
      <c r="N68">
        <f t="shared" si="8"/>
        <v>86207</v>
      </c>
      <c r="O68">
        <f>IF(AND(A68&gt;0,A68&lt;999),IFERROR(VLOOKUP(results0124[[#This Row],[Card]],U14M[],1,FALSE),0),0)</f>
        <v>86207</v>
      </c>
      <c r="P68">
        <f t="shared" si="9"/>
        <v>67</v>
      </c>
      <c r="Q68" s="5">
        <f t="shared" si="10"/>
        <v>82</v>
      </c>
      <c r="R68" s="5">
        <f t="shared" si="11"/>
        <v>74</v>
      </c>
    </row>
    <row r="69" spans="1:18" x14ac:dyDescent="0.25">
      <c r="A69" s="17">
        <v>68</v>
      </c>
      <c r="B69" s="18">
        <v>80830</v>
      </c>
      <c r="C69" s="18">
        <v>103</v>
      </c>
      <c r="D69" s="19" t="s">
        <v>217</v>
      </c>
      <c r="E69" s="19" t="s">
        <v>54</v>
      </c>
      <c r="F69" s="18">
        <v>5</v>
      </c>
      <c r="G69" s="19" t="s">
        <v>16</v>
      </c>
      <c r="H69" s="19">
        <v>49</v>
      </c>
      <c r="I69" s="19">
        <v>51.16</v>
      </c>
      <c r="J69" s="19" t="s">
        <v>297</v>
      </c>
      <c r="K69" s="20">
        <v>154.76</v>
      </c>
      <c r="N69">
        <f t="shared" si="8"/>
        <v>80830</v>
      </c>
      <c r="O69">
        <f>IF(AND(A69&gt;0,A69&lt;999),IFERROR(VLOOKUP(results0124[[#This Row],[Card]],U14M[],1,FALSE),0),0)</f>
        <v>80830</v>
      </c>
      <c r="P69">
        <f t="shared" si="9"/>
        <v>68</v>
      </c>
      <c r="Q69" s="5">
        <f t="shared" si="10"/>
        <v>87</v>
      </c>
      <c r="R69" s="5">
        <f t="shared" si="11"/>
        <v>71</v>
      </c>
    </row>
    <row r="70" spans="1:18" x14ac:dyDescent="0.25">
      <c r="A70" s="13">
        <v>69</v>
      </c>
      <c r="B70" s="14">
        <v>80807</v>
      </c>
      <c r="C70" s="14">
        <v>108</v>
      </c>
      <c r="D70" s="15" t="s">
        <v>298</v>
      </c>
      <c r="E70" s="15" t="s">
        <v>54</v>
      </c>
      <c r="F70" s="14">
        <v>5</v>
      </c>
      <c r="G70" s="15" t="s">
        <v>16</v>
      </c>
      <c r="H70" s="15">
        <v>48.83</v>
      </c>
      <c r="I70" s="15">
        <v>51.41</v>
      </c>
      <c r="J70" s="15" t="s">
        <v>300</v>
      </c>
      <c r="K70" s="16">
        <v>155.66999999999999</v>
      </c>
      <c r="N70">
        <f t="shared" si="8"/>
        <v>80807</v>
      </c>
      <c r="O70">
        <f>IF(AND(A70&gt;0,A70&lt;999),IFERROR(VLOOKUP(results0124[[#This Row],[Card]],U14M[],1,FALSE),0),0)</f>
        <v>80807</v>
      </c>
      <c r="P70">
        <f t="shared" si="9"/>
        <v>69</v>
      </c>
      <c r="Q70" s="5">
        <f t="shared" si="10"/>
        <v>86</v>
      </c>
      <c r="R70" s="5">
        <f t="shared" si="11"/>
        <v>73</v>
      </c>
    </row>
    <row r="71" spans="1:18" x14ac:dyDescent="0.25">
      <c r="A71" s="17">
        <v>70</v>
      </c>
      <c r="B71" s="18">
        <v>80662</v>
      </c>
      <c r="C71" s="18">
        <v>82</v>
      </c>
      <c r="D71" s="19" t="s">
        <v>158</v>
      </c>
      <c r="E71" s="19" t="s">
        <v>61</v>
      </c>
      <c r="F71" s="18">
        <v>4</v>
      </c>
      <c r="G71" s="19" t="s">
        <v>16</v>
      </c>
      <c r="H71" s="19">
        <v>48.28</v>
      </c>
      <c r="I71" s="19">
        <v>52.1</v>
      </c>
      <c r="J71" s="19" t="s">
        <v>301</v>
      </c>
      <c r="K71" s="20">
        <v>157.25</v>
      </c>
      <c r="N71">
        <f t="shared" si="8"/>
        <v>80662</v>
      </c>
      <c r="O71">
        <f>IF(AND(A71&gt;0,A71&lt;999),IFERROR(VLOOKUP(results0124[[#This Row],[Card]],U14M[],1,FALSE),0),0)</f>
        <v>80662</v>
      </c>
      <c r="P71">
        <f t="shared" si="9"/>
        <v>70</v>
      </c>
      <c r="Q71" s="5">
        <f t="shared" si="10"/>
        <v>77</v>
      </c>
      <c r="R71" s="5">
        <f t="shared" si="11"/>
        <v>79</v>
      </c>
    </row>
    <row r="72" spans="1:18" x14ac:dyDescent="0.25">
      <c r="A72" s="13">
        <v>71</v>
      </c>
      <c r="B72" s="14">
        <v>80835</v>
      </c>
      <c r="C72" s="14">
        <v>106</v>
      </c>
      <c r="D72" s="15" t="s">
        <v>302</v>
      </c>
      <c r="E72" s="15" t="s">
        <v>54</v>
      </c>
      <c r="F72" s="14">
        <v>5</v>
      </c>
      <c r="G72" s="15" t="s">
        <v>16</v>
      </c>
      <c r="H72" s="15">
        <v>48.59</v>
      </c>
      <c r="I72" s="15">
        <v>51.86</v>
      </c>
      <c r="J72" s="15" t="s">
        <v>303</v>
      </c>
      <c r="K72" s="16">
        <v>158.05000000000001</v>
      </c>
      <c r="N72">
        <f t="shared" si="8"/>
        <v>80835</v>
      </c>
      <c r="O72">
        <f>IF(AND(A72&gt;0,A72&lt;999),IFERROR(VLOOKUP(results0124[[#This Row],[Card]],U14M[],1,FALSE),0),0)</f>
        <v>80835</v>
      </c>
      <c r="P72">
        <f t="shared" si="9"/>
        <v>71</v>
      </c>
      <c r="Q72" s="5">
        <f t="shared" si="10"/>
        <v>83</v>
      </c>
      <c r="R72" s="5">
        <f t="shared" si="11"/>
        <v>77</v>
      </c>
    </row>
    <row r="73" spans="1:18" x14ac:dyDescent="0.25">
      <c r="A73" s="17">
        <v>72</v>
      </c>
      <c r="B73" s="18">
        <v>80700</v>
      </c>
      <c r="C73" s="18">
        <v>88</v>
      </c>
      <c r="D73" s="19" t="s">
        <v>192</v>
      </c>
      <c r="E73" s="19" t="s">
        <v>31</v>
      </c>
      <c r="F73" s="18">
        <v>4</v>
      </c>
      <c r="G73" s="19" t="s">
        <v>16</v>
      </c>
      <c r="H73" s="19">
        <v>49.12</v>
      </c>
      <c r="I73" s="19">
        <v>51.87</v>
      </c>
      <c r="J73" s="19" t="s">
        <v>304</v>
      </c>
      <c r="K73" s="20">
        <v>164.16</v>
      </c>
      <c r="N73">
        <f t="shared" si="8"/>
        <v>80700</v>
      </c>
      <c r="O73">
        <f>IF(AND(A73&gt;0,A73&lt;999),IFERROR(VLOOKUP(results0124[[#This Row],[Card]],U14M[],1,FALSE),0),0)</f>
        <v>80700</v>
      </c>
      <c r="P73">
        <f t="shared" si="9"/>
        <v>72</v>
      </c>
      <c r="Q73" s="5">
        <f t="shared" si="10"/>
        <v>88</v>
      </c>
      <c r="R73" s="5">
        <f t="shared" si="11"/>
        <v>78</v>
      </c>
    </row>
    <row r="74" spans="1:18" x14ac:dyDescent="0.25">
      <c r="A74" s="13">
        <v>73</v>
      </c>
      <c r="B74" s="14">
        <v>81500</v>
      </c>
      <c r="C74" s="14">
        <v>57</v>
      </c>
      <c r="D74" s="15" t="s">
        <v>131</v>
      </c>
      <c r="E74" s="15" t="s">
        <v>22</v>
      </c>
      <c r="F74" s="14">
        <v>5</v>
      </c>
      <c r="G74" s="15" t="s">
        <v>16</v>
      </c>
      <c r="H74" s="15">
        <v>47.43</v>
      </c>
      <c r="I74" s="15">
        <v>53.86</v>
      </c>
      <c r="J74" s="15" t="s">
        <v>305</v>
      </c>
      <c r="K74" s="16">
        <v>167.56</v>
      </c>
      <c r="N74">
        <f t="shared" si="8"/>
        <v>81500</v>
      </c>
      <c r="O74">
        <f>IF(AND(A74&gt;0,A74&lt;999),IFERROR(VLOOKUP(results0124[[#This Row],[Card]],U14M[],1,FALSE),0),0)</f>
        <v>81500</v>
      </c>
      <c r="P74">
        <f t="shared" si="9"/>
        <v>73</v>
      </c>
      <c r="Q74" s="5">
        <f t="shared" si="10"/>
        <v>68</v>
      </c>
      <c r="R74" s="5">
        <f t="shared" si="11"/>
        <v>90</v>
      </c>
    </row>
    <row r="75" spans="1:18" x14ac:dyDescent="0.25">
      <c r="A75" s="17">
        <v>74</v>
      </c>
      <c r="B75" s="18">
        <v>85448</v>
      </c>
      <c r="C75" s="18">
        <v>64</v>
      </c>
      <c r="D75" s="19" t="s">
        <v>224</v>
      </c>
      <c r="E75" s="19" t="s">
        <v>101</v>
      </c>
      <c r="F75" s="18">
        <v>4</v>
      </c>
      <c r="G75" s="19" t="s">
        <v>16</v>
      </c>
      <c r="H75" s="19">
        <v>53.15</v>
      </c>
      <c r="I75" s="19">
        <v>48.68</v>
      </c>
      <c r="J75" s="19" t="s">
        <v>306</v>
      </c>
      <c r="K75" s="20">
        <v>173.68</v>
      </c>
      <c r="N75">
        <f t="shared" si="8"/>
        <v>85448</v>
      </c>
      <c r="O75">
        <f>IF(AND(A75&gt;0,A75&lt;999),IFERROR(VLOOKUP(results0124[[#This Row],[Card]],U14M[],1,FALSE),0),0)</f>
        <v>85448</v>
      </c>
      <c r="P75">
        <f t="shared" si="9"/>
        <v>74</v>
      </c>
      <c r="Q75" s="5">
        <f t="shared" si="10"/>
        <v>103</v>
      </c>
      <c r="R75" s="5">
        <f t="shared" si="11"/>
        <v>45</v>
      </c>
    </row>
    <row r="76" spans="1:18" x14ac:dyDescent="0.25">
      <c r="A76" s="13">
        <v>75</v>
      </c>
      <c r="B76" s="14">
        <v>85454</v>
      </c>
      <c r="C76" s="14">
        <v>100</v>
      </c>
      <c r="D76" s="15" t="s">
        <v>218</v>
      </c>
      <c r="E76" s="15" t="s">
        <v>54</v>
      </c>
      <c r="F76" s="14">
        <v>5</v>
      </c>
      <c r="G76" s="15" t="s">
        <v>16</v>
      </c>
      <c r="H76" s="15">
        <v>49.54</v>
      </c>
      <c r="I76" s="15">
        <v>52.3</v>
      </c>
      <c r="J76" s="15" t="s">
        <v>307</v>
      </c>
      <c r="K76" s="16">
        <v>173.79</v>
      </c>
      <c r="N76">
        <f t="shared" si="8"/>
        <v>85454</v>
      </c>
      <c r="O76">
        <f>IF(AND(A76&gt;0,A76&lt;999),IFERROR(VLOOKUP(results0124[[#This Row],[Card]],U14M[],1,FALSE),0),0)</f>
        <v>85454</v>
      </c>
      <c r="P76">
        <f t="shared" si="9"/>
        <v>75</v>
      </c>
      <c r="Q76" s="5">
        <f t="shared" si="10"/>
        <v>92</v>
      </c>
      <c r="R76" s="5">
        <f t="shared" si="11"/>
        <v>82</v>
      </c>
    </row>
    <row r="77" spans="1:18" x14ac:dyDescent="0.25">
      <c r="A77" s="17">
        <v>76</v>
      </c>
      <c r="B77" s="18">
        <v>78649</v>
      </c>
      <c r="C77" s="18">
        <v>2</v>
      </c>
      <c r="D77" s="19" t="s">
        <v>308</v>
      </c>
      <c r="E77" s="19" t="s">
        <v>309</v>
      </c>
      <c r="F77" s="18">
        <v>4</v>
      </c>
      <c r="G77" s="19" t="s">
        <v>16</v>
      </c>
      <c r="H77" s="19">
        <v>49.67</v>
      </c>
      <c r="I77" s="19">
        <v>52.45</v>
      </c>
      <c r="J77" s="19" t="s">
        <v>310</v>
      </c>
      <c r="K77" s="20">
        <v>176.97</v>
      </c>
      <c r="N77">
        <f t="shared" si="8"/>
        <v>78649</v>
      </c>
      <c r="O77">
        <f>IF(AND(A77&gt;0,A77&lt;999),IFERROR(VLOOKUP(results0124[[#This Row],[Card]],U14M[],1,FALSE),0),0)</f>
        <v>78649</v>
      </c>
      <c r="P77">
        <f t="shared" si="9"/>
        <v>76</v>
      </c>
      <c r="Q77" s="5">
        <f t="shared" si="10"/>
        <v>93</v>
      </c>
      <c r="R77" s="5">
        <f t="shared" si="11"/>
        <v>83</v>
      </c>
    </row>
    <row r="78" spans="1:18" x14ac:dyDescent="0.25">
      <c r="A78" s="13">
        <v>77</v>
      </c>
      <c r="B78" s="14">
        <v>88381</v>
      </c>
      <c r="C78" s="14">
        <v>113</v>
      </c>
      <c r="D78" s="15" t="s">
        <v>181</v>
      </c>
      <c r="E78" s="15" t="s">
        <v>47</v>
      </c>
      <c r="F78" s="14">
        <v>5</v>
      </c>
      <c r="G78" s="15" t="s">
        <v>16</v>
      </c>
      <c r="H78" s="15">
        <v>48.77</v>
      </c>
      <c r="I78" s="15">
        <v>53.48</v>
      </c>
      <c r="J78" s="15" t="s">
        <v>311</v>
      </c>
      <c r="K78" s="16">
        <v>178.44</v>
      </c>
      <c r="N78">
        <f t="shared" si="8"/>
        <v>88381</v>
      </c>
      <c r="O78">
        <f>IF(AND(A78&gt;0,A78&lt;999),IFERROR(VLOOKUP(results0124[[#This Row],[Card]],U14M[],1,FALSE),0),0)</f>
        <v>88381</v>
      </c>
      <c r="P78">
        <f t="shared" si="9"/>
        <v>77</v>
      </c>
      <c r="Q78" s="5">
        <f t="shared" si="10"/>
        <v>84</v>
      </c>
      <c r="R78" s="5">
        <f t="shared" si="11"/>
        <v>88</v>
      </c>
    </row>
    <row r="79" spans="1:18" x14ac:dyDescent="0.25">
      <c r="A79" s="17">
        <v>78</v>
      </c>
      <c r="B79" s="18">
        <v>84868</v>
      </c>
      <c r="C79" s="18">
        <v>99</v>
      </c>
      <c r="D79" s="19" t="s">
        <v>312</v>
      </c>
      <c r="E79" s="19" t="s">
        <v>54</v>
      </c>
      <c r="F79" s="18">
        <v>5</v>
      </c>
      <c r="G79" s="19" t="s">
        <v>16</v>
      </c>
      <c r="H79" s="19">
        <v>50.03</v>
      </c>
      <c r="I79" s="19">
        <v>52.27</v>
      </c>
      <c r="J79" s="19" t="s">
        <v>313</v>
      </c>
      <c r="K79" s="20">
        <v>179.01</v>
      </c>
      <c r="N79">
        <f t="shared" si="8"/>
        <v>84868</v>
      </c>
      <c r="O79">
        <f>IF(AND(A79&gt;0,A79&lt;999),IFERROR(VLOOKUP(results0124[[#This Row],[Card]],U14M[],1,FALSE),0),0)</f>
        <v>84868</v>
      </c>
      <c r="P79">
        <f t="shared" si="9"/>
        <v>78</v>
      </c>
      <c r="Q79" s="5">
        <f t="shared" si="10"/>
        <v>95</v>
      </c>
      <c r="R79" s="5">
        <f t="shared" si="11"/>
        <v>81</v>
      </c>
    </row>
    <row r="80" spans="1:18" x14ac:dyDescent="0.25">
      <c r="A80" s="13">
        <v>79</v>
      </c>
      <c r="B80" s="14">
        <v>78504</v>
      </c>
      <c r="C80" s="14">
        <v>110</v>
      </c>
      <c r="D80" s="15" t="s">
        <v>210</v>
      </c>
      <c r="E80" s="15" t="s">
        <v>19</v>
      </c>
      <c r="F80" s="14">
        <v>5</v>
      </c>
      <c r="G80" s="15" t="s">
        <v>16</v>
      </c>
      <c r="H80" s="15">
        <v>49.17</v>
      </c>
      <c r="I80" s="15">
        <v>53.21</v>
      </c>
      <c r="J80" s="15" t="s">
        <v>314</v>
      </c>
      <c r="K80" s="16">
        <v>179.91</v>
      </c>
      <c r="N80">
        <f t="shared" si="8"/>
        <v>78504</v>
      </c>
      <c r="O80">
        <f>IF(AND(A80&gt;0,A80&lt;999),IFERROR(VLOOKUP(results0124[[#This Row],[Card]],U14M[],1,FALSE),0),0)</f>
        <v>78504</v>
      </c>
      <c r="P80">
        <f t="shared" si="9"/>
        <v>79</v>
      </c>
      <c r="Q80" s="5">
        <f t="shared" si="10"/>
        <v>90</v>
      </c>
      <c r="R80" s="5">
        <f t="shared" si="11"/>
        <v>86</v>
      </c>
    </row>
    <row r="81" spans="1:18" x14ac:dyDescent="0.25">
      <c r="A81" s="17">
        <v>80</v>
      </c>
      <c r="B81" s="18">
        <v>81505</v>
      </c>
      <c r="C81" s="18">
        <v>96</v>
      </c>
      <c r="D81" s="19" t="s">
        <v>315</v>
      </c>
      <c r="E81" s="19" t="s">
        <v>22</v>
      </c>
      <c r="F81" s="18">
        <v>5</v>
      </c>
      <c r="G81" s="19" t="s">
        <v>16</v>
      </c>
      <c r="H81" s="19">
        <v>49.53</v>
      </c>
      <c r="I81" s="19">
        <v>52.86</v>
      </c>
      <c r="J81" s="19" t="s">
        <v>316</v>
      </c>
      <c r="K81" s="20">
        <v>180.03</v>
      </c>
      <c r="N81">
        <f t="shared" si="8"/>
        <v>81505</v>
      </c>
      <c r="O81">
        <f>IF(AND(A81&gt;0,A81&lt;999),IFERROR(VLOOKUP(results0124[[#This Row],[Card]],U14M[],1,FALSE),0),0)</f>
        <v>81505</v>
      </c>
      <c r="P81">
        <f t="shared" si="9"/>
        <v>80</v>
      </c>
      <c r="Q81" s="5">
        <f t="shared" si="10"/>
        <v>91</v>
      </c>
      <c r="R81" s="5">
        <f t="shared" si="11"/>
        <v>85</v>
      </c>
    </row>
    <row r="82" spans="1:18" x14ac:dyDescent="0.25">
      <c r="A82" s="13">
        <v>81</v>
      </c>
      <c r="B82" s="14">
        <v>80692</v>
      </c>
      <c r="C82" s="14">
        <v>116</v>
      </c>
      <c r="D82" s="15" t="s">
        <v>317</v>
      </c>
      <c r="E82" s="15" t="s">
        <v>31</v>
      </c>
      <c r="F82" s="14">
        <v>5</v>
      </c>
      <c r="G82" s="15" t="s">
        <v>16</v>
      </c>
      <c r="H82" s="15">
        <v>49.97</v>
      </c>
      <c r="I82" s="15">
        <v>52.82</v>
      </c>
      <c r="J82" s="15" t="s">
        <v>318</v>
      </c>
      <c r="K82" s="16">
        <v>184.56</v>
      </c>
      <c r="N82">
        <f t="shared" si="8"/>
        <v>80692</v>
      </c>
      <c r="O82">
        <f>IF(AND(A82&gt;0,A82&lt;999),IFERROR(VLOOKUP(results0124[[#This Row],[Card]],U14M[],1,FALSE),0),0)</f>
        <v>80692</v>
      </c>
      <c r="P82">
        <f t="shared" si="9"/>
        <v>81</v>
      </c>
      <c r="Q82" s="5">
        <f t="shared" si="10"/>
        <v>94</v>
      </c>
      <c r="R82" s="5">
        <f t="shared" si="11"/>
        <v>84</v>
      </c>
    </row>
    <row r="83" spans="1:18" x14ac:dyDescent="0.25">
      <c r="A83" s="17">
        <v>82</v>
      </c>
      <c r="B83" s="18">
        <v>80701</v>
      </c>
      <c r="C83" s="18">
        <v>107</v>
      </c>
      <c r="D83" s="19" t="s">
        <v>216</v>
      </c>
      <c r="E83" s="19" t="s">
        <v>31</v>
      </c>
      <c r="F83" s="18">
        <v>5</v>
      </c>
      <c r="G83" s="19" t="s">
        <v>16</v>
      </c>
      <c r="H83" s="19">
        <v>50.08</v>
      </c>
      <c r="I83" s="19">
        <v>53.28</v>
      </c>
      <c r="J83" s="19" t="s">
        <v>319</v>
      </c>
      <c r="K83" s="20">
        <v>191.02</v>
      </c>
      <c r="N83">
        <f t="shared" si="8"/>
        <v>80701</v>
      </c>
      <c r="O83">
        <f>IF(AND(A83&gt;0,A83&lt;999),IFERROR(VLOOKUP(results0124[[#This Row],[Card]],U14M[],1,FALSE),0),0)</f>
        <v>80701</v>
      </c>
      <c r="P83">
        <f t="shared" si="9"/>
        <v>82</v>
      </c>
      <c r="Q83" s="5">
        <f t="shared" si="10"/>
        <v>96</v>
      </c>
      <c r="R83" s="5">
        <f t="shared" si="11"/>
        <v>87</v>
      </c>
    </row>
    <row r="84" spans="1:18" x14ac:dyDescent="0.25">
      <c r="A84" s="13">
        <v>83</v>
      </c>
      <c r="B84" s="14">
        <v>82442</v>
      </c>
      <c r="C84" s="14">
        <v>94</v>
      </c>
      <c r="D84" s="15" t="s">
        <v>204</v>
      </c>
      <c r="E84" s="15" t="s">
        <v>42</v>
      </c>
      <c r="F84" s="14">
        <v>5</v>
      </c>
      <c r="G84" s="15" t="s">
        <v>16</v>
      </c>
      <c r="H84" s="15">
        <v>50.64</v>
      </c>
      <c r="I84" s="15">
        <v>54.47</v>
      </c>
      <c r="J84" s="15" t="s">
        <v>320</v>
      </c>
      <c r="K84" s="16">
        <v>210.84</v>
      </c>
      <c r="N84">
        <f t="shared" si="8"/>
        <v>82442</v>
      </c>
      <c r="O84">
        <f>IF(AND(A84&gt;0,A84&lt;999),IFERROR(VLOOKUP(results0124[[#This Row],[Card]],U14M[],1,FALSE),0),0)</f>
        <v>82442</v>
      </c>
      <c r="P84">
        <f t="shared" si="9"/>
        <v>83</v>
      </c>
      <c r="Q84" s="5">
        <f t="shared" si="10"/>
        <v>99</v>
      </c>
      <c r="R84" s="5">
        <f t="shared" si="11"/>
        <v>91</v>
      </c>
    </row>
    <row r="85" spans="1:18" x14ac:dyDescent="0.25">
      <c r="A85" s="17">
        <v>84</v>
      </c>
      <c r="B85" s="18">
        <v>78414</v>
      </c>
      <c r="C85" s="18">
        <v>93</v>
      </c>
      <c r="D85" s="19" t="s">
        <v>202</v>
      </c>
      <c r="E85" s="19" t="s">
        <v>155</v>
      </c>
      <c r="F85" s="18">
        <v>4</v>
      </c>
      <c r="G85" s="19" t="s">
        <v>16</v>
      </c>
      <c r="H85" s="19">
        <v>50.42</v>
      </c>
      <c r="I85" s="19">
        <v>55.81</v>
      </c>
      <c r="J85" s="19" t="s">
        <v>321</v>
      </c>
      <c r="K85" s="20">
        <v>223.53</v>
      </c>
      <c r="N85">
        <f t="shared" si="8"/>
        <v>78414</v>
      </c>
      <c r="O85">
        <f>IF(AND(A85&gt;0,A85&lt;999),IFERROR(VLOOKUP(results0124[[#This Row],[Card]],U14M[],1,FALSE),0),0)</f>
        <v>78414</v>
      </c>
      <c r="P85">
        <f t="shared" si="9"/>
        <v>84</v>
      </c>
      <c r="Q85" s="5">
        <f t="shared" si="10"/>
        <v>97</v>
      </c>
      <c r="R85" s="5">
        <f t="shared" si="11"/>
        <v>94</v>
      </c>
    </row>
    <row r="86" spans="1:18" x14ac:dyDescent="0.25">
      <c r="A86" s="13">
        <v>85</v>
      </c>
      <c r="B86" s="14">
        <v>78726</v>
      </c>
      <c r="C86" s="14">
        <v>11</v>
      </c>
      <c r="D86" s="15" t="s">
        <v>322</v>
      </c>
      <c r="E86" s="15" t="s">
        <v>309</v>
      </c>
      <c r="F86" s="14">
        <v>4</v>
      </c>
      <c r="G86" s="15" t="s">
        <v>16</v>
      </c>
      <c r="H86" s="15">
        <v>50.97</v>
      </c>
      <c r="I86" s="15">
        <v>56.1</v>
      </c>
      <c r="J86" s="15" t="s">
        <v>323</v>
      </c>
      <c r="K86" s="16">
        <v>233.05</v>
      </c>
      <c r="N86">
        <f t="shared" si="8"/>
        <v>78726</v>
      </c>
      <c r="O86">
        <f>IF(AND(A86&gt;0,A86&lt;999),IFERROR(VLOOKUP(results0124[[#This Row],[Card]],U14M[],1,FALSE),0),0)</f>
        <v>78726</v>
      </c>
      <c r="P86">
        <f t="shared" si="9"/>
        <v>85</v>
      </c>
      <c r="Q86" s="5">
        <f t="shared" si="10"/>
        <v>100</v>
      </c>
      <c r="R86" s="5">
        <f t="shared" si="11"/>
        <v>95</v>
      </c>
    </row>
    <row r="87" spans="1:18" x14ac:dyDescent="0.25">
      <c r="A87" s="17">
        <v>86</v>
      </c>
      <c r="B87" s="18">
        <v>81801</v>
      </c>
      <c r="C87" s="18">
        <v>105</v>
      </c>
      <c r="D87" s="19" t="s">
        <v>208</v>
      </c>
      <c r="E87" s="19" t="s">
        <v>61</v>
      </c>
      <c r="F87" s="18">
        <v>5</v>
      </c>
      <c r="G87" s="19" t="s">
        <v>16</v>
      </c>
      <c r="H87" s="19">
        <v>51.89</v>
      </c>
      <c r="I87" s="19">
        <v>55.55</v>
      </c>
      <c r="J87" s="19" t="s">
        <v>324</v>
      </c>
      <c r="K87" s="20">
        <v>237.24</v>
      </c>
      <c r="N87">
        <f t="shared" si="8"/>
        <v>81801</v>
      </c>
      <c r="O87">
        <f>IF(AND(A87&gt;0,A87&lt;999),IFERROR(VLOOKUP(results0124[[#This Row],[Card]],U14M[],1,FALSE),0),0)</f>
        <v>81801</v>
      </c>
      <c r="P87">
        <f t="shared" si="9"/>
        <v>86</v>
      </c>
      <c r="Q87" s="5">
        <f t="shared" si="10"/>
        <v>101</v>
      </c>
      <c r="R87" s="5">
        <f t="shared" si="11"/>
        <v>93</v>
      </c>
    </row>
    <row r="88" spans="1:18" x14ac:dyDescent="0.25">
      <c r="A88" s="13">
        <v>87</v>
      </c>
      <c r="B88" s="14">
        <v>85950</v>
      </c>
      <c r="C88" s="14">
        <v>98</v>
      </c>
      <c r="D88" s="15" t="s">
        <v>206</v>
      </c>
      <c r="E88" s="15" t="s">
        <v>31</v>
      </c>
      <c r="F88" s="14">
        <v>4</v>
      </c>
      <c r="G88" s="15" t="s">
        <v>16</v>
      </c>
      <c r="H88" s="15">
        <v>52.26</v>
      </c>
      <c r="I88" s="15">
        <v>55.51</v>
      </c>
      <c r="J88" s="15" t="s">
        <v>325</v>
      </c>
      <c r="K88" s="16">
        <v>240.98</v>
      </c>
      <c r="N88">
        <f t="shared" si="8"/>
        <v>85950</v>
      </c>
      <c r="O88">
        <f>IF(AND(A88&gt;0,A88&lt;999),IFERROR(VLOOKUP(results0124[[#This Row],[Card]],U14M[],1,FALSE),0),0)</f>
        <v>85950</v>
      </c>
      <c r="P88">
        <f t="shared" si="9"/>
        <v>87</v>
      </c>
      <c r="Q88" s="5">
        <f t="shared" si="10"/>
        <v>102</v>
      </c>
      <c r="R88" s="5">
        <f t="shared" si="11"/>
        <v>92</v>
      </c>
    </row>
    <row r="89" spans="1:18" x14ac:dyDescent="0.25">
      <c r="A89" s="17">
        <v>88</v>
      </c>
      <c r="B89" s="18">
        <v>81880</v>
      </c>
      <c r="C89" s="18">
        <v>112</v>
      </c>
      <c r="D89" s="19" t="s">
        <v>212</v>
      </c>
      <c r="E89" s="19" t="s">
        <v>61</v>
      </c>
      <c r="F89" s="18">
        <v>5</v>
      </c>
      <c r="G89" s="19" t="s">
        <v>16</v>
      </c>
      <c r="H89" s="19">
        <v>54.55</v>
      </c>
      <c r="I89" s="19">
        <v>58.67</v>
      </c>
      <c r="J89" s="19" t="s">
        <v>327</v>
      </c>
      <c r="K89" s="20">
        <v>302.72000000000003</v>
      </c>
      <c r="N89">
        <f t="shared" si="8"/>
        <v>81880</v>
      </c>
      <c r="O89">
        <f>IF(AND(A89&gt;0,A89&lt;999),IFERROR(VLOOKUP(results0124[[#This Row],[Card]],U14M[],1,FALSE),0),0)</f>
        <v>81880</v>
      </c>
      <c r="P89">
        <f t="shared" si="9"/>
        <v>88</v>
      </c>
      <c r="Q89" s="5">
        <f t="shared" si="10"/>
        <v>104</v>
      </c>
      <c r="R89" s="5">
        <f t="shared" si="11"/>
        <v>96</v>
      </c>
    </row>
    <row r="90" spans="1:18" x14ac:dyDescent="0.25">
      <c r="A90" s="13">
        <v>999</v>
      </c>
      <c r="B90" s="14">
        <v>80610</v>
      </c>
      <c r="C90" s="14">
        <v>10</v>
      </c>
      <c r="D90" s="15" t="s">
        <v>219</v>
      </c>
      <c r="E90" s="15" t="s">
        <v>15</v>
      </c>
      <c r="F90" s="14">
        <v>5</v>
      </c>
      <c r="G90" s="15" t="s">
        <v>16</v>
      </c>
      <c r="H90" s="15" t="s">
        <v>215</v>
      </c>
      <c r="I90" s="15" t="s">
        <v>215</v>
      </c>
      <c r="J90" s="15"/>
      <c r="K90" s="16">
        <v>0</v>
      </c>
      <c r="N90">
        <f t="shared" si="8"/>
        <v>80610</v>
      </c>
      <c r="O90">
        <f>IF(AND(A90&gt;0,A90&lt;999),IFERROR(VLOOKUP(results0124[[#This Row],[Card]],U14M[],1,FALSE),0),0)</f>
        <v>0</v>
      </c>
      <c r="P90">
        <f t="shared" si="9"/>
        <v>999</v>
      </c>
      <c r="Q90" s="5">
        <f t="shared" si="10"/>
        <v>999</v>
      </c>
      <c r="R90" s="5">
        <f t="shared" si="11"/>
        <v>999</v>
      </c>
    </row>
    <row r="91" spans="1:18" x14ac:dyDescent="0.25">
      <c r="A91" s="17">
        <v>999</v>
      </c>
      <c r="B91" s="18">
        <v>77258</v>
      </c>
      <c r="C91" s="18">
        <v>87</v>
      </c>
      <c r="D91" s="19" t="s">
        <v>214</v>
      </c>
      <c r="E91" s="19" t="s">
        <v>42</v>
      </c>
      <c r="F91" s="18">
        <v>4</v>
      </c>
      <c r="G91" s="19" t="s">
        <v>16</v>
      </c>
      <c r="H91" s="19" t="s">
        <v>215</v>
      </c>
      <c r="I91" s="19" t="s">
        <v>215</v>
      </c>
      <c r="J91" s="19"/>
      <c r="K91" s="20">
        <v>0</v>
      </c>
      <c r="N91">
        <f t="shared" si="8"/>
        <v>77258</v>
      </c>
      <c r="O91">
        <f>IF(AND(A91&gt;0,A91&lt;999),IFERROR(VLOOKUP(results0124[[#This Row],[Card]],U14M[],1,FALSE),0),0)</f>
        <v>0</v>
      </c>
      <c r="P91">
        <f t="shared" si="9"/>
        <v>999</v>
      </c>
      <c r="Q91" s="5">
        <f t="shared" si="10"/>
        <v>999</v>
      </c>
      <c r="R91" s="5">
        <f t="shared" si="11"/>
        <v>999</v>
      </c>
    </row>
    <row r="92" spans="1:18" x14ac:dyDescent="0.25">
      <c r="A92" s="13">
        <v>999</v>
      </c>
      <c r="B92" s="14">
        <v>81108</v>
      </c>
      <c r="C92" s="14">
        <v>14</v>
      </c>
      <c r="D92" s="15" t="s">
        <v>44</v>
      </c>
      <c r="E92" s="15" t="s">
        <v>22</v>
      </c>
      <c r="F92" s="14">
        <v>5</v>
      </c>
      <c r="G92" s="15" t="s">
        <v>16</v>
      </c>
      <c r="H92" s="15" t="s">
        <v>220</v>
      </c>
      <c r="I92" s="15">
        <v>47.71</v>
      </c>
      <c r="J92" s="15"/>
      <c r="K92" s="16">
        <v>0</v>
      </c>
      <c r="N92">
        <f t="shared" si="8"/>
        <v>81108</v>
      </c>
      <c r="O92">
        <f>IF(AND(A92&gt;0,A92&lt;999),IFERROR(VLOOKUP(results0124[[#This Row],[Card]],U14M[],1,FALSE),0),0)</f>
        <v>0</v>
      </c>
      <c r="P92">
        <f t="shared" si="9"/>
        <v>999</v>
      </c>
      <c r="Q92" s="5">
        <f t="shared" si="10"/>
        <v>999</v>
      </c>
      <c r="R92" s="5">
        <f t="shared" si="11"/>
        <v>33</v>
      </c>
    </row>
    <row r="93" spans="1:18" x14ac:dyDescent="0.25">
      <c r="A93" s="17">
        <v>999</v>
      </c>
      <c r="B93" s="18">
        <v>76653</v>
      </c>
      <c r="C93" s="18">
        <v>26</v>
      </c>
      <c r="D93" s="19" t="s">
        <v>37</v>
      </c>
      <c r="E93" s="19" t="s">
        <v>38</v>
      </c>
      <c r="F93" s="18">
        <v>4</v>
      </c>
      <c r="G93" s="19" t="s">
        <v>16</v>
      </c>
      <c r="H93" s="19" t="s">
        <v>220</v>
      </c>
      <c r="I93" s="19">
        <v>50.28</v>
      </c>
      <c r="J93" s="19"/>
      <c r="K93" s="20">
        <v>0</v>
      </c>
      <c r="N93">
        <f t="shared" si="8"/>
        <v>76653</v>
      </c>
      <c r="O93">
        <f>IF(AND(A93&gt;0,A93&lt;999),IFERROR(VLOOKUP(results0124[[#This Row],[Card]],U14M[],1,FALSE),0),0)</f>
        <v>0</v>
      </c>
      <c r="P93">
        <f t="shared" si="9"/>
        <v>999</v>
      </c>
      <c r="Q93" s="5">
        <f t="shared" si="10"/>
        <v>999</v>
      </c>
      <c r="R93" s="5">
        <f t="shared" si="11"/>
        <v>59</v>
      </c>
    </row>
    <row r="94" spans="1:18" x14ac:dyDescent="0.25">
      <c r="A94" s="13">
        <v>999</v>
      </c>
      <c r="B94" s="14">
        <v>85853</v>
      </c>
      <c r="C94" s="14">
        <v>31</v>
      </c>
      <c r="D94" s="15" t="s">
        <v>82</v>
      </c>
      <c r="E94" s="15" t="s">
        <v>15</v>
      </c>
      <c r="F94" s="14">
        <v>5</v>
      </c>
      <c r="G94" s="15" t="s">
        <v>16</v>
      </c>
      <c r="H94" s="15" t="s">
        <v>220</v>
      </c>
      <c r="I94" s="15">
        <v>46.92</v>
      </c>
      <c r="J94" s="15"/>
      <c r="K94" s="16">
        <v>0</v>
      </c>
      <c r="N94">
        <f t="shared" si="8"/>
        <v>85853</v>
      </c>
      <c r="O94">
        <f>IF(AND(A94&gt;0,A94&lt;999),IFERROR(VLOOKUP(results0124[[#This Row],[Card]],U14M[],1,FALSE),0),0)</f>
        <v>0</v>
      </c>
      <c r="P94">
        <f t="shared" si="9"/>
        <v>999</v>
      </c>
      <c r="Q94" s="5">
        <f t="shared" si="10"/>
        <v>999</v>
      </c>
      <c r="R94" s="5">
        <f t="shared" si="11"/>
        <v>25</v>
      </c>
    </row>
    <row r="95" spans="1:18" x14ac:dyDescent="0.25">
      <c r="A95" s="17">
        <v>999</v>
      </c>
      <c r="B95" s="18">
        <v>80828</v>
      </c>
      <c r="C95" s="18">
        <v>42</v>
      </c>
      <c r="D95" s="19" t="s">
        <v>88</v>
      </c>
      <c r="E95" s="19" t="s">
        <v>54</v>
      </c>
      <c r="F95" s="18">
        <v>5</v>
      </c>
      <c r="G95" s="19" t="s">
        <v>16</v>
      </c>
      <c r="H95" s="19" t="s">
        <v>220</v>
      </c>
      <c r="I95" s="19">
        <v>48.21</v>
      </c>
      <c r="J95" s="19"/>
      <c r="K95" s="20">
        <v>0</v>
      </c>
      <c r="N95">
        <f t="shared" si="8"/>
        <v>80828</v>
      </c>
      <c r="O95">
        <f>IF(AND(A95&gt;0,A95&lt;999),IFERROR(VLOOKUP(results0124[[#This Row],[Card]],U14M[],1,FALSE),0),0)</f>
        <v>0</v>
      </c>
      <c r="P95">
        <f t="shared" si="9"/>
        <v>999</v>
      </c>
      <c r="Q95" s="5">
        <f t="shared" si="10"/>
        <v>999</v>
      </c>
      <c r="R95" s="5">
        <f t="shared" si="11"/>
        <v>41</v>
      </c>
    </row>
    <row r="96" spans="1:18" x14ac:dyDescent="0.25">
      <c r="A96" s="13">
        <v>999</v>
      </c>
      <c r="B96" s="14">
        <v>81112</v>
      </c>
      <c r="C96" s="14">
        <v>53</v>
      </c>
      <c r="D96" s="15" t="s">
        <v>63</v>
      </c>
      <c r="E96" s="15" t="s">
        <v>22</v>
      </c>
      <c r="F96" s="14">
        <v>4</v>
      </c>
      <c r="G96" s="15" t="s">
        <v>16</v>
      </c>
      <c r="H96" s="15" t="s">
        <v>220</v>
      </c>
      <c r="I96" s="15">
        <v>46.25</v>
      </c>
      <c r="J96" s="15"/>
      <c r="K96" s="16">
        <v>0</v>
      </c>
      <c r="N96">
        <f t="shared" si="8"/>
        <v>81112</v>
      </c>
      <c r="O96">
        <f>IF(AND(A96&gt;0,A96&lt;999),IFERROR(VLOOKUP(results0124[[#This Row],[Card]],U14M[],1,FALSE),0),0)</f>
        <v>0</v>
      </c>
      <c r="P96">
        <f t="shared" si="9"/>
        <v>999</v>
      </c>
      <c r="Q96" s="5">
        <f t="shared" si="10"/>
        <v>999</v>
      </c>
      <c r="R96" s="5">
        <f t="shared" si="11"/>
        <v>19</v>
      </c>
    </row>
    <row r="97" spans="1:18" x14ac:dyDescent="0.25">
      <c r="A97" s="17">
        <v>999</v>
      </c>
      <c r="B97" s="18">
        <v>76864</v>
      </c>
      <c r="C97" s="18">
        <v>73</v>
      </c>
      <c r="D97" s="19" t="s">
        <v>107</v>
      </c>
      <c r="E97" s="19" t="s">
        <v>38</v>
      </c>
      <c r="F97" s="18">
        <v>4</v>
      </c>
      <c r="G97" s="19" t="s">
        <v>16</v>
      </c>
      <c r="H97" s="19" t="s">
        <v>220</v>
      </c>
      <c r="I97" s="19">
        <v>48.63</v>
      </c>
      <c r="J97" s="19"/>
      <c r="K97" s="20">
        <v>0</v>
      </c>
      <c r="N97">
        <f t="shared" si="8"/>
        <v>76864</v>
      </c>
      <c r="O97">
        <f>IF(AND(A97&gt;0,A97&lt;999),IFERROR(VLOOKUP(results0124[[#This Row],[Card]],U14M[],1,FALSE),0),0)</f>
        <v>0</v>
      </c>
      <c r="P97">
        <f t="shared" si="9"/>
        <v>999</v>
      </c>
      <c r="Q97" s="5">
        <f t="shared" si="10"/>
        <v>999</v>
      </c>
      <c r="R97" s="5">
        <f t="shared" si="11"/>
        <v>44</v>
      </c>
    </row>
    <row r="98" spans="1:18" x14ac:dyDescent="0.25">
      <c r="A98" s="13">
        <v>999</v>
      </c>
      <c r="B98" s="14">
        <v>78669</v>
      </c>
      <c r="C98" s="14">
        <v>77</v>
      </c>
      <c r="D98" s="15" t="s">
        <v>116</v>
      </c>
      <c r="E98" s="15" t="s">
        <v>117</v>
      </c>
      <c r="F98" s="14">
        <v>4</v>
      </c>
      <c r="G98" s="15" t="s">
        <v>16</v>
      </c>
      <c r="H98" s="15" t="s">
        <v>220</v>
      </c>
      <c r="I98" s="15">
        <v>50.58</v>
      </c>
      <c r="J98" s="15"/>
      <c r="K98" s="16">
        <v>0</v>
      </c>
      <c r="N98">
        <f t="shared" ref="N98:N117" si="12">B98</f>
        <v>78669</v>
      </c>
      <c r="O98">
        <f>IF(AND(A98&gt;0,A98&lt;999),IFERROR(VLOOKUP(results0124[[#This Row],[Card]],U14M[],1,FALSE),0),0)</f>
        <v>0</v>
      </c>
      <c r="P98">
        <f t="shared" ref="P98:P117" si="13">A98</f>
        <v>999</v>
      </c>
      <c r="Q98" s="5">
        <f t="shared" ref="Q98:Q117" si="14">IFERROR(_xlfn.RANK.EQ(H98,$H$2:$H$117,1),999)</f>
        <v>999</v>
      </c>
      <c r="R98" s="5">
        <f t="shared" ref="R98:R117" si="15">IFERROR(_xlfn.RANK.EQ(I98,$I$2:$I$117,1),999)</f>
        <v>65</v>
      </c>
    </row>
    <row r="99" spans="1:18" x14ac:dyDescent="0.25">
      <c r="A99" s="17">
        <v>999</v>
      </c>
      <c r="B99" s="18">
        <v>82224</v>
      </c>
      <c r="C99" s="18">
        <v>91</v>
      </c>
      <c r="D99" s="19" t="s">
        <v>190</v>
      </c>
      <c r="E99" s="19" t="s">
        <v>101</v>
      </c>
      <c r="F99" s="18">
        <v>4</v>
      </c>
      <c r="G99" s="19" t="s">
        <v>16</v>
      </c>
      <c r="H99" s="19" t="s">
        <v>220</v>
      </c>
      <c r="I99" s="19" t="s">
        <v>215</v>
      </c>
      <c r="J99" s="19"/>
      <c r="K99" s="20">
        <v>0</v>
      </c>
      <c r="N99">
        <f t="shared" si="12"/>
        <v>82224</v>
      </c>
      <c r="O99">
        <f>IF(AND(A99&gt;0,A99&lt;999),IFERROR(VLOOKUP(results0124[[#This Row],[Card]],U14M[],1,FALSE),0),0)</f>
        <v>0</v>
      </c>
      <c r="P99">
        <f t="shared" si="13"/>
        <v>999</v>
      </c>
      <c r="Q99" s="5">
        <f t="shared" si="14"/>
        <v>999</v>
      </c>
      <c r="R99" s="5">
        <f t="shared" si="15"/>
        <v>999</v>
      </c>
    </row>
    <row r="100" spans="1:18" x14ac:dyDescent="0.25">
      <c r="A100" s="13">
        <v>999</v>
      </c>
      <c r="B100" s="14">
        <v>81740</v>
      </c>
      <c r="C100" s="14">
        <v>97</v>
      </c>
      <c r="D100" s="15" t="s">
        <v>160</v>
      </c>
      <c r="E100" s="15" t="s">
        <v>31</v>
      </c>
      <c r="F100" s="14">
        <v>4</v>
      </c>
      <c r="G100" s="15" t="s">
        <v>16</v>
      </c>
      <c r="H100" s="15" t="s">
        <v>220</v>
      </c>
      <c r="I100" s="15" t="s">
        <v>215</v>
      </c>
      <c r="J100" s="15"/>
      <c r="K100" s="16">
        <v>0</v>
      </c>
      <c r="N100">
        <f t="shared" si="12"/>
        <v>81740</v>
      </c>
      <c r="O100">
        <f>IF(AND(A100&gt;0,A100&lt;999),IFERROR(VLOOKUP(results0124[[#This Row],[Card]],U14M[],1,FALSE),0),0)</f>
        <v>0</v>
      </c>
      <c r="P100">
        <f t="shared" si="13"/>
        <v>999</v>
      </c>
      <c r="Q100" s="5">
        <f t="shared" si="14"/>
        <v>999</v>
      </c>
      <c r="R100" s="5">
        <f t="shared" si="15"/>
        <v>999</v>
      </c>
    </row>
    <row r="101" spans="1:18" x14ac:dyDescent="0.25">
      <c r="A101" s="17">
        <v>999</v>
      </c>
      <c r="B101" s="18">
        <v>85546</v>
      </c>
      <c r="C101" s="18">
        <v>66</v>
      </c>
      <c r="D101" s="19" t="s">
        <v>221</v>
      </c>
      <c r="E101" s="19" t="s">
        <v>117</v>
      </c>
      <c r="F101" s="18">
        <v>4</v>
      </c>
      <c r="G101" s="19" t="s">
        <v>16</v>
      </c>
      <c r="H101" s="19" t="s">
        <v>328</v>
      </c>
      <c r="I101" s="19">
        <v>50.51</v>
      </c>
      <c r="J101" s="19"/>
      <c r="K101" s="20">
        <v>0</v>
      </c>
      <c r="N101">
        <f t="shared" si="12"/>
        <v>85546</v>
      </c>
      <c r="O101">
        <f>IF(AND(A101&gt;0,A101&lt;999),IFERROR(VLOOKUP(results0124[[#This Row],[Card]],U14M[],1,FALSE),0),0)</f>
        <v>0</v>
      </c>
      <c r="P101">
        <f t="shared" si="13"/>
        <v>999</v>
      </c>
      <c r="Q101" s="5">
        <f t="shared" si="14"/>
        <v>999</v>
      </c>
      <c r="R101" s="5">
        <f t="shared" si="15"/>
        <v>64</v>
      </c>
    </row>
    <row r="102" spans="1:18" x14ac:dyDescent="0.25">
      <c r="A102" s="13">
        <v>999</v>
      </c>
      <c r="B102" s="14">
        <v>80718</v>
      </c>
      <c r="C102" s="14">
        <v>35</v>
      </c>
      <c r="D102" s="15" t="s">
        <v>94</v>
      </c>
      <c r="E102" s="15" t="s">
        <v>22</v>
      </c>
      <c r="F102" s="14">
        <v>4</v>
      </c>
      <c r="G102" s="15" t="s">
        <v>16</v>
      </c>
      <c r="H102" s="15">
        <v>48.29</v>
      </c>
      <c r="I102" s="15" t="s">
        <v>215</v>
      </c>
      <c r="J102" s="15"/>
      <c r="K102" s="16">
        <v>0</v>
      </c>
      <c r="N102">
        <f t="shared" si="12"/>
        <v>80718</v>
      </c>
      <c r="O102">
        <f>IF(AND(A102&gt;0,A102&lt;999),IFERROR(VLOOKUP(results0124[[#This Row],[Card]],U14M[],1,FALSE),0),0)</f>
        <v>0</v>
      </c>
      <c r="P102">
        <f t="shared" si="13"/>
        <v>999</v>
      </c>
      <c r="Q102" s="5">
        <f t="shared" si="14"/>
        <v>78</v>
      </c>
      <c r="R102" s="5">
        <f t="shared" si="15"/>
        <v>999</v>
      </c>
    </row>
    <row r="103" spans="1:18" x14ac:dyDescent="0.25">
      <c r="A103" s="17">
        <v>999</v>
      </c>
      <c r="B103" s="18">
        <v>85772</v>
      </c>
      <c r="C103" s="18">
        <v>60</v>
      </c>
      <c r="D103" s="19" t="s">
        <v>196</v>
      </c>
      <c r="E103" s="19" t="s">
        <v>15</v>
      </c>
      <c r="F103" s="18">
        <v>5</v>
      </c>
      <c r="G103" s="19" t="s">
        <v>16</v>
      </c>
      <c r="H103" s="19">
        <v>48.53</v>
      </c>
      <c r="I103" s="19" t="s">
        <v>215</v>
      </c>
      <c r="J103" s="19"/>
      <c r="K103" s="20">
        <v>0</v>
      </c>
      <c r="N103">
        <f t="shared" si="12"/>
        <v>85772</v>
      </c>
      <c r="O103">
        <f>IF(AND(A103&gt;0,A103&lt;999),IFERROR(VLOOKUP(results0124[[#This Row],[Card]],U14M[],1,FALSE),0),0)</f>
        <v>0</v>
      </c>
      <c r="P103">
        <f t="shared" si="13"/>
        <v>999</v>
      </c>
      <c r="Q103" s="5">
        <f t="shared" si="14"/>
        <v>81</v>
      </c>
      <c r="R103" s="5">
        <f t="shared" si="15"/>
        <v>999</v>
      </c>
    </row>
    <row r="104" spans="1:18" x14ac:dyDescent="0.25">
      <c r="A104" s="13">
        <v>999</v>
      </c>
      <c r="B104" s="14">
        <v>80722</v>
      </c>
      <c r="C104" s="14">
        <v>6</v>
      </c>
      <c r="D104" s="15" t="s">
        <v>33</v>
      </c>
      <c r="E104" s="15" t="s">
        <v>22</v>
      </c>
      <c r="F104" s="14">
        <v>4</v>
      </c>
      <c r="G104" s="15" t="s">
        <v>16</v>
      </c>
      <c r="H104" s="15">
        <v>43.66</v>
      </c>
      <c r="I104" s="15" t="s">
        <v>220</v>
      </c>
      <c r="J104" s="15"/>
      <c r="K104" s="16">
        <v>0</v>
      </c>
      <c r="N104">
        <f t="shared" si="12"/>
        <v>80722</v>
      </c>
      <c r="O104">
        <f>IF(AND(A104&gt;0,A104&lt;999),IFERROR(VLOOKUP(results0124[[#This Row],[Card]],U14M[],1,FALSE),0),0)</f>
        <v>0</v>
      </c>
      <c r="P104">
        <f t="shared" si="13"/>
        <v>999</v>
      </c>
      <c r="Q104" s="5">
        <f t="shared" si="14"/>
        <v>17</v>
      </c>
      <c r="R104" s="5">
        <f t="shared" si="15"/>
        <v>999</v>
      </c>
    </row>
    <row r="105" spans="1:18" x14ac:dyDescent="0.25">
      <c r="A105" s="17">
        <v>999</v>
      </c>
      <c r="B105" s="18">
        <v>78200</v>
      </c>
      <c r="C105" s="18">
        <v>9</v>
      </c>
      <c r="D105" s="19" t="s">
        <v>49</v>
      </c>
      <c r="E105" s="19" t="s">
        <v>31</v>
      </c>
      <c r="F105" s="18">
        <v>5</v>
      </c>
      <c r="G105" s="19" t="s">
        <v>16</v>
      </c>
      <c r="H105" s="19">
        <v>42.46</v>
      </c>
      <c r="I105" s="19" t="s">
        <v>220</v>
      </c>
      <c r="J105" s="19"/>
      <c r="K105" s="20">
        <v>0</v>
      </c>
      <c r="N105">
        <f t="shared" si="12"/>
        <v>78200</v>
      </c>
      <c r="O105">
        <f>IF(AND(A105&gt;0,A105&lt;999),IFERROR(VLOOKUP(results0124[[#This Row],[Card]],U14M[],1,FALSE),0),0)</f>
        <v>0</v>
      </c>
      <c r="P105">
        <f t="shared" si="13"/>
        <v>999</v>
      </c>
      <c r="Q105" s="5">
        <f t="shared" si="14"/>
        <v>4</v>
      </c>
      <c r="R105" s="5">
        <f t="shared" si="15"/>
        <v>999</v>
      </c>
    </row>
    <row r="106" spans="1:18" x14ac:dyDescent="0.25">
      <c r="A106" s="13">
        <v>999</v>
      </c>
      <c r="B106" s="14">
        <v>82431</v>
      </c>
      <c r="C106" s="14">
        <v>16</v>
      </c>
      <c r="D106" s="15" t="s">
        <v>41</v>
      </c>
      <c r="E106" s="15" t="s">
        <v>42</v>
      </c>
      <c r="F106" s="14">
        <v>4</v>
      </c>
      <c r="G106" s="15" t="s">
        <v>16</v>
      </c>
      <c r="H106" s="15">
        <v>43.35</v>
      </c>
      <c r="I106" s="15" t="s">
        <v>220</v>
      </c>
      <c r="J106" s="15"/>
      <c r="K106" s="16">
        <v>0</v>
      </c>
      <c r="N106">
        <f t="shared" si="12"/>
        <v>82431</v>
      </c>
      <c r="O106">
        <f>IF(AND(A106&gt;0,A106&lt;999),IFERROR(VLOOKUP(results0124[[#This Row],[Card]],U14M[],1,FALSE),0),0)</f>
        <v>0</v>
      </c>
      <c r="P106">
        <f t="shared" si="13"/>
        <v>999</v>
      </c>
      <c r="Q106" s="5">
        <f t="shared" si="14"/>
        <v>11</v>
      </c>
      <c r="R106" s="5">
        <f t="shared" si="15"/>
        <v>999</v>
      </c>
    </row>
    <row r="107" spans="1:18" x14ac:dyDescent="0.25">
      <c r="A107" s="17">
        <v>999</v>
      </c>
      <c r="B107" s="18">
        <v>80690</v>
      </c>
      <c r="C107" s="18">
        <v>38</v>
      </c>
      <c r="D107" s="19" t="s">
        <v>148</v>
      </c>
      <c r="E107" s="19" t="s">
        <v>31</v>
      </c>
      <c r="F107" s="18">
        <v>5</v>
      </c>
      <c r="G107" s="19" t="s">
        <v>16</v>
      </c>
      <c r="H107" s="19">
        <v>45.38</v>
      </c>
      <c r="I107" s="19" t="s">
        <v>220</v>
      </c>
      <c r="J107" s="19"/>
      <c r="K107" s="20">
        <v>0</v>
      </c>
      <c r="N107">
        <f t="shared" si="12"/>
        <v>80690</v>
      </c>
      <c r="O107">
        <f>IF(AND(A107&gt;0,A107&lt;999),IFERROR(VLOOKUP(results0124[[#This Row],[Card]],U14M[],1,FALSE),0),0)</f>
        <v>0</v>
      </c>
      <c r="P107">
        <f t="shared" si="13"/>
        <v>999</v>
      </c>
      <c r="Q107" s="5">
        <f t="shared" si="14"/>
        <v>42</v>
      </c>
      <c r="R107" s="5">
        <f t="shared" si="15"/>
        <v>999</v>
      </c>
    </row>
    <row r="108" spans="1:18" x14ac:dyDescent="0.25">
      <c r="A108" s="13">
        <v>999</v>
      </c>
      <c r="B108" s="14">
        <v>80625</v>
      </c>
      <c r="C108" s="14">
        <v>43</v>
      </c>
      <c r="D108" s="15" t="s">
        <v>76</v>
      </c>
      <c r="E108" s="15" t="s">
        <v>19</v>
      </c>
      <c r="F108" s="14">
        <v>4</v>
      </c>
      <c r="G108" s="15" t="s">
        <v>16</v>
      </c>
      <c r="H108" s="15">
        <v>43.42</v>
      </c>
      <c r="I108" s="15" t="s">
        <v>220</v>
      </c>
      <c r="J108" s="15"/>
      <c r="K108" s="16">
        <v>0</v>
      </c>
      <c r="N108">
        <f t="shared" si="12"/>
        <v>80625</v>
      </c>
      <c r="O108">
        <f>IF(AND(A108&gt;0,A108&lt;999),IFERROR(VLOOKUP(results0124[[#This Row],[Card]],U14M[],1,FALSE),0),0)</f>
        <v>0</v>
      </c>
      <c r="P108">
        <f t="shared" si="13"/>
        <v>999</v>
      </c>
      <c r="Q108" s="5">
        <f t="shared" si="14"/>
        <v>14</v>
      </c>
      <c r="R108" s="5">
        <f t="shared" si="15"/>
        <v>999</v>
      </c>
    </row>
    <row r="109" spans="1:18" x14ac:dyDescent="0.25">
      <c r="A109" s="17">
        <v>999</v>
      </c>
      <c r="B109" s="18">
        <v>82440</v>
      </c>
      <c r="C109" s="18">
        <v>47</v>
      </c>
      <c r="D109" s="19" t="s">
        <v>56</v>
      </c>
      <c r="E109" s="19" t="s">
        <v>15</v>
      </c>
      <c r="F109" s="18">
        <v>4</v>
      </c>
      <c r="G109" s="19" t="s">
        <v>16</v>
      </c>
      <c r="H109" s="19">
        <v>43.41</v>
      </c>
      <c r="I109" s="19" t="s">
        <v>220</v>
      </c>
      <c r="J109" s="19"/>
      <c r="K109" s="20">
        <v>0</v>
      </c>
      <c r="N109">
        <f t="shared" si="12"/>
        <v>82440</v>
      </c>
      <c r="O109">
        <f>IF(AND(A109&gt;0,A109&lt;999),IFERROR(VLOOKUP(results0124[[#This Row],[Card]],U14M[],1,FALSE),0),0)</f>
        <v>0</v>
      </c>
      <c r="P109">
        <f t="shared" si="13"/>
        <v>999</v>
      </c>
      <c r="Q109" s="5">
        <f t="shared" si="14"/>
        <v>13</v>
      </c>
      <c r="R109" s="5">
        <f t="shared" si="15"/>
        <v>999</v>
      </c>
    </row>
    <row r="110" spans="1:18" x14ac:dyDescent="0.25">
      <c r="A110" s="13">
        <v>999</v>
      </c>
      <c r="B110" s="14">
        <v>81736</v>
      </c>
      <c r="C110" s="14">
        <v>50</v>
      </c>
      <c r="D110" s="15" t="s">
        <v>184</v>
      </c>
      <c r="E110" s="15" t="s">
        <v>31</v>
      </c>
      <c r="F110" s="14">
        <v>4</v>
      </c>
      <c r="G110" s="15" t="s">
        <v>16</v>
      </c>
      <c r="H110" s="15">
        <v>49.15</v>
      </c>
      <c r="I110" s="15" t="s">
        <v>220</v>
      </c>
      <c r="J110" s="15"/>
      <c r="K110" s="16">
        <v>0</v>
      </c>
      <c r="N110">
        <f t="shared" si="12"/>
        <v>81736</v>
      </c>
      <c r="O110">
        <f>IF(AND(A110&gt;0,A110&lt;999),IFERROR(VLOOKUP(results0124[[#This Row],[Card]],U14M[],1,FALSE),0),0)</f>
        <v>0</v>
      </c>
      <c r="P110">
        <f t="shared" si="13"/>
        <v>999</v>
      </c>
      <c r="Q110" s="5">
        <f t="shared" si="14"/>
        <v>89</v>
      </c>
      <c r="R110" s="5">
        <f t="shared" si="15"/>
        <v>999</v>
      </c>
    </row>
    <row r="111" spans="1:18" x14ac:dyDescent="0.25">
      <c r="A111" s="17">
        <v>999</v>
      </c>
      <c r="B111" s="18">
        <v>81322</v>
      </c>
      <c r="C111" s="18">
        <v>52</v>
      </c>
      <c r="D111" s="19" t="s">
        <v>72</v>
      </c>
      <c r="E111" s="19" t="s">
        <v>22</v>
      </c>
      <c r="F111" s="18">
        <v>4</v>
      </c>
      <c r="G111" s="19" t="s">
        <v>16</v>
      </c>
      <c r="H111" s="19">
        <v>44.61</v>
      </c>
      <c r="I111" s="19" t="s">
        <v>220</v>
      </c>
      <c r="J111" s="19"/>
      <c r="K111" s="20">
        <v>0</v>
      </c>
      <c r="N111">
        <f t="shared" si="12"/>
        <v>81322</v>
      </c>
      <c r="O111">
        <f>IF(AND(A111&gt;0,A111&lt;999),IFERROR(VLOOKUP(results0124[[#This Row],[Card]],U14M[],1,FALSE),0),0)</f>
        <v>0</v>
      </c>
      <c r="P111">
        <f t="shared" si="13"/>
        <v>999</v>
      </c>
      <c r="Q111" s="5">
        <f t="shared" si="14"/>
        <v>31</v>
      </c>
      <c r="R111" s="5">
        <f t="shared" si="15"/>
        <v>999</v>
      </c>
    </row>
    <row r="112" spans="1:18" x14ac:dyDescent="0.25">
      <c r="A112" s="13">
        <v>999</v>
      </c>
      <c r="B112" s="14">
        <v>81810</v>
      </c>
      <c r="C112" s="14">
        <v>85</v>
      </c>
      <c r="D112" s="15" t="s">
        <v>329</v>
      </c>
      <c r="E112" s="15" t="s">
        <v>54</v>
      </c>
      <c r="F112" s="14">
        <v>4</v>
      </c>
      <c r="G112" s="15" t="s">
        <v>16</v>
      </c>
      <c r="H112" s="15">
        <v>47</v>
      </c>
      <c r="I112" s="15" t="s">
        <v>220</v>
      </c>
      <c r="J112" s="15"/>
      <c r="K112" s="16">
        <v>0</v>
      </c>
      <c r="N112">
        <f t="shared" si="12"/>
        <v>81810</v>
      </c>
      <c r="O112">
        <f>IF(AND(A112&gt;0,A112&lt;999),IFERROR(VLOOKUP(results0124[[#This Row],[Card]],U14M[],1,FALSE),0),0)</f>
        <v>0</v>
      </c>
      <c r="P112">
        <f t="shared" si="13"/>
        <v>999</v>
      </c>
      <c r="Q112" s="5">
        <f t="shared" si="14"/>
        <v>62</v>
      </c>
      <c r="R112" s="5">
        <f t="shared" si="15"/>
        <v>999</v>
      </c>
    </row>
    <row r="113" spans="1:18" x14ac:dyDescent="0.25">
      <c r="A113" s="17">
        <v>999</v>
      </c>
      <c r="B113" s="18">
        <v>85566</v>
      </c>
      <c r="C113" s="18">
        <v>89</v>
      </c>
      <c r="D113" s="19" t="s">
        <v>150</v>
      </c>
      <c r="E113" s="19" t="s">
        <v>117</v>
      </c>
      <c r="F113" s="18">
        <v>5</v>
      </c>
      <c r="G113" s="19" t="s">
        <v>16</v>
      </c>
      <c r="H113" s="19">
        <v>47.54</v>
      </c>
      <c r="I113" s="19" t="s">
        <v>220</v>
      </c>
      <c r="J113" s="19"/>
      <c r="K113" s="20">
        <v>0</v>
      </c>
      <c r="N113">
        <f t="shared" si="12"/>
        <v>85566</v>
      </c>
      <c r="O113">
        <f>IF(AND(A113&gt;0,A113&lt;999),IFERROR(VLOOKUP(results0124[[#This Row],[Card]],U14M[],1,FALSE),0),0)</f>
        <v>0</v>
      </c>
      <c r="P113">
        <f t="shared" si="13"/>
        <v>999</v>
      </c>
      <c r="Q113" s="5">
        <f t="shared" si="14"/>
        <v>69</v>
      </c>
      <c r="R113" s="5">
        <f t="shared" si="15"/>
        <v>999</v>
      </c>
    </row>
    <row r="114" spans="1:18" x14ac:dyDescent="0.25">
      <c r="A114" s="13">
        <v>999</v>
      </c>
      <c r="B114" s="14">
        <v>80627</v>
      </c>
      <c r="C114" s="14">
        <v>102</v>
      </c>
      <c r="D114" s="15" t="s">
        <v>222</v>
      </c>
      <c r="E114" s="15" t="s">
        <v>19</v>
      </c>
      <c r="F114" s="14">
        <v>5</v>
      </c>
      <c r="G114" s="15" t="s">
        <v>16</v>
      </c>
      <c r="H114" s="15">
        <v>47.91</v>
      </c>
      <c r="I114" s="15" t="s">
        <v>220</v>
      </c>
      <c r="J114" s="15"/>
      <c r="K114" s="16">
        <v>0</v>
      </c>
      <c r="N114">
        <f t="shared" si="12"/>
        <v>80627</v>
      </c>
      <c r="O114">
        <f>IF(AND(A114&gt;0,A114&lt;999),IFERROR(VLOOKUP(results0124[[#This Row],[Card]],U14M[],1,FALSE),0),0)</f>
        <v>0</v>
      </c>
      <c r="P114">
        <f t="shared" si="13"/>
        <v>999</v>
      </c>
      <c r="Q114" s="5">
        <f t="shared" si="14"/>
        <v>73</v>
      </c>
      <c r="R114" s="5">
        <f t="shared" si="15"/>
        <v>999</v>
      </c>
    </row>
    <row r="115" spans="1:18" x14ac:dyDescent="0.25">
      <c r="A115" s="17">
        <v>999</v>
      </c>
      <c r="B115" s="18">
        <v>81081</v>
      </c>
      <c r="C115" s="18">
        <v>104</v>
      </c>
      <c r="D115" s="19" t="s">
        <v>330</v>
      </c>
      <c r="E115" s="19" t="s">
        <v>31</v>
      </c>
      <c r="F115" s="18">
        <v>5</v>
      </c>
      <c r="G115" s="19" t="s">
        <v>16</v>
      </c>
      <c r="H115" s="19">
        <v>48.79</v>
      </c>
      <c r="I115" s="19" t="s">
        <v>220</v>
      </c>
      <c r="J115" s="19"/>
      <c r="K115" s="20">
        <v>0</v>
      </c>
      <c r="N115">
        <f t="shared" si="12"/>
        <v>81081</v>
      </c>
      <c r="O115">
        <f>IF(AND(A115&gt;0,A115&lt;999),IFERROR(VLOOKUP(results0124[[#This Row],[Card]],U14M[],1,FALSE),0),0)</f>
        <v>0</v>
      </c>
      <c r="P115">
        <f t="shared" si="13"/>
        <v>999</v>
      </c>
      <c r="Q115" s="5">
        <f t="shared" si="14"/>
        <v>85</v>
      </c>
      <c r="R115" s="5">
        <f t="shared" si="15"/>
        <v>999</v>
      </c>
    </row>
    <row r="116" spans="1:18" x14ac:dyDescent="0.25">
      <c r="A116" s="13">
        <v>999</v>
      </c>
      <c r="B116" s="14">
        <v>87999</v>
      </c>
      <c r="C116" s="14">
        <v>109</v>
      </c>
      <c r="D116" s="15" t="s">
        <v>179</v>
      </c>
      <c r="E116" s="15" t="s">
        <v>19</v>
      </c>
      <c r="F116" s="14">
        <v>5</v>
      </c>
      <c r="G116" s="15" t="s">
        <v>16</v>
      </c>
      <c r="H116" s="15">
        <v>47.63</v>
      </c>
      <c r="I116" s="15" t="s">
        <v>220</v>
      </c>
      <c r="J116" s="15"/>
      <c r="K116" s="16">
        <v>0</v>
      </c>
      <c r="N116">
        <f t="shared" si="12"/>
        <v>87999</v>
      </c>
      <c r="O116">
        <f>IF(AND(A116&gt;0,A116&lt;999),IFERROR(VLOOKUP(results0124[[#This Row],[Card]],U14M[],1,FALSE),0),0)</f>
        <v>0</v>
      </c>
      <c r="P116">
        <f t="shared" si="13"/>
        <v>999</v>
      </c>
      <c r="Q116" s="5">
        <f t="shared" si="14"/>
        <v>70</v>
      </c>
      <c r="R116" s="5">
        <f t="shared" si="15"/>
        <v>999</v>
      </c>
    </row>
    <row r="117" spans="1:18" x14ac:dyDescent="0.25">
      <c r="A117" s="6">
        <v>999</v>
      </c>
      <c r="B117" s="7">
        <v>81781</v>
      </c>
      <c r="C117" s="7">
        <v>115</v>
      </c>
      <c r="D117" s="8" t="s">
        <v>200</v>
      </c>
      <c r="E117" s="8" t="s">
        <v>38</v>
      </c>
      <c r="F117" s="7">
        <v>5</v>
      </c>
      <c r="G117" s="8" t="s">
        <v>16</v>
      </c>
      <c r="H117" s="8">
        <v>50.6</v>
      </c>
      <c r="I117" s="8" t="s">
        <v>220</v>
      </c>
      <c r="J117" s="8"/>
      <c r="K117" s="9">
        <v>0</v>
      </c>
      <c r="N117">
        <f t="shared" si="12"/>
        <v>81781</v>
      </c>
      <c r="O117">
        <f>IF(AND(A117&gt;0,A117&lt;999),IFERROR(VLOOKUP(results0124[[#This Row],[Card]],U14M[],1,FALSE),0),0)</f>
        <v>0</v>
      </c>
      <c r="P117">
        <f t="shared" si="13"/>
        <v>999</v>
      </c>
      <c r="Q117" s="5">
        <f t="shared" si="14"/>
        <v>98</v>
      </c>
      <c r="R117" s="5">
        <f t="shared" si="15"/>
        <v>999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workbookViewId="0">
      <selection activeCell="R4" sqref="R4"/>
    </sheetView>
  </sheetViews>
  <sheetFormatPr defaultRowHeight="15" x14ac:dyDescent="0.25"/>
  <cols>
    <col min="1" max="1" width="7.42578125" bestFit="1" customWidth="1"/>
    <col min="2" max="2" width="7.140625" bestFit="1" customWidth="1"/>
    <col min="3" max="3" width="5.85546875" bestFit="1" customWidth="1"/>
    <col min="4" max="4" width="24.5703125" bestFit="1" customWidth="1"/>
    <col min="5" max="5" width="7" bestFit="1" customWidth="1"/>
    <col min="6" max="6" width="6.7109375" bestFit="1" customWidth="1"/>
    <col min="7" max="7" width="10.7109375" bestFit="1" customWidth="1"/>
    <col min="8" max="8" width="9.42578125" bestFit="1" customWidth="1"/>
    <col min="9" max="9" width="9.7109375" bestFit="1" customWidth="1"/>
    <col min="10" max="10" width="12" bestFit="1" customWidth="1"/>
    <col min="11" max="11" width="8.42578125" bestFit="1" customWidth="1"/>
  </cols>
  <sheetData>
    <row r="1" spans="1:18" ht="14.45" x14ac:dyDescent="0.3">
      <c r="A1" s="10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N1" s="21" t="s">
        <v>3</v>
      </c>
      <c r="O1" s="21" t="s">
        <v>226</v>
      </c>
      <c r="P1" s="21" t="s">
        <v>8</v>
      </c>
      <c r="Q1" s="32" t="s">
        <v>605</v>
      </c>
      <c r="R1" s="32" t="s">
        <v>606</v>
      </c>
    </row>
    <row r="2" spans="1:18" ht="14.45" x14ac:dyDescent="0.3">
      <c r="A2" s="13">
        <v>1</v>
      </c>
      <c r="B2" s="14">
        <v>75018</v>
      </c>
      <c r="C2" s="14">
        <v>50</v>
      </c>
      <c r="D2" s="15" t="s">
        <v>60</v>
      </c>
      <c r="E2" s="15" t="s">
        <v>61</v>
      </c>
      <c r="F2" s="14">
        <v>4</v>
      </c>
      <c r="G2" s="15" t="s">
        <v>16</v>
      </c>
      <c r="H2" s="15">
        <v>42.13</v>
      </c>
      <c r="I2" s="15">
        <v>44.09</v>
      </c>
      <c r="J2" s="15" t="s">
        <v>336</v>
      </c>
      <c r="K2" s="16">
        <v>0</v>
      </c>
      <c r="N2">
        <f t="shared" ref="N2:N33" si="0">B2</f>
        <v>75018</v>
      </c>
      <c r="O2">
        <f>IF(AND(A2&gt;0,A2&lt;999),IFERROR(VLOOKUP(results0140[[#This Row],[Card]],U14M[],1,FALSE),0),0)</f>
        <v>75018</v>
      </c>
      <c r="P2">
        <f t="shared" ref="P2:P33" si="1">A2</f>
        <v>1</v>
      </c>
      <c r="Q2" s="5">
        <f t="shared" ref="Q2:Q33" si="2">IFERROR(_xlfn.RANK.EQ(H2,$H$2:$H$117,1),999)</f>
        <v>4</v>
      </c>
      <c r="R2" s="5">
        <f t="shared" ref="R2:R33" si="3">IFERROR(_xlfn.RANK.EQ(I2,$I$2:$I$117,1),999)</f>
        <v>4</v>
      </c>
    </row>
    <row r="3" spans="1:18" ht="14.45" x14ac:dyDescent="0.3">
      <c r="A3" s="17">
        <v>2</v>
      </c>
      <c r="B3" s="18">
        <v>80685</v>
      </c>
      <c r="C3" s="18">
        <v>13</v>
      </c>
      <c r="D3" s="19" t="s">
        <v>74</v>
      </c>
      <c r="E3" s="19" t="s">
        <v>15</v>
      </c>
      <c r="F3" s="18">
        <v>4</v>
      </c>
      <c r="G3" s="19" t="s">
        <v>16</v>
      </c>
      <c r="H3" s="19">
        <v>41.98</v>
      </c>
      <c r="I3" s="19">
        <v>44.56</v>
      </c>
      <c r="J3" s="19" t="s">
        <v>337</v>
      </c>
      <c r="K3" s="20">
        <v>2.67</v>
      </c>
      <c r="N3">
        <f t="shared" si="0"/>
        <v>80685</v>
      </c>
      <c r="O3">
        <f>IF(AND(A3&gt;0,A3&lt;999),IFERROR(VLOOKUP(results0140[[#This Row],[Card]],U14M[],1,FALSE),0),0)</f>
        <v>80685</v>
      </c>
      <c r="P3">
        <f t="shared" si="1"/>
        <v>2</v>
      </c>
      <c r="Q3" s="5">
        <f t="shared" si="2"/>
        <v>1</v>
      </c>
      <c r="R3" s="5">
        <f t="shared" si="3"/>
        <v>6</v>
      </c>
    </row>
    <row r="4" spans="1:18" ht="14.45" x14ac:dyDescent="0.3">
      <c r="A4" s="13">
        <v>3</v>
      </c>
      <c r="B4" s="14">
        <v>84829</v>
      </c>
      <c r="C4" s="14">
        <v>29</v>
      </c>
      <c r="D4" s="15" t="s">
        <v>68</v>
      </c>
      <c r="E4" s="15" t="s">
        <v>15</v>
      </c>
      <c r="F4" s="14">
        <v>5</v>
      </c>
      <c r="G4" s="15" t="s">
        <v>16</v>
      </c>
      <c r="H4" s="15">
        <v>42.67</v>
      </c>
      <c r="I4" s="15">
        <v>44.81</v>
      </c>
      <c r="J4" s="15" t="s">
        <v>338</v>
      </c>
      <c r="K4" s="16">
        <v>10.52</v>
      </c>
      <c r="N4">
        <f t="shared" si="0"/>
        <v>84829</v>
      </c>
      <c r="O4">
        <f>IF(AND(A4&gt;0,A4&lt;999),IFERROR(VLOOKUP(results0140[[#This Row],[Card]],U14M[],1,FALSE),0),0)</f>
        <v>84829</v>
      </c>
      <c r="P4">
        <f t="shared" si="1"/>
        <v>3</v>
      </c>
      <c r="Q4" s="5">
        <f t="shared" si="2"/>
        <v>7</v>
      </c>
      <c r="R4" s="5">
        <f t="shared" si="3"/>
        <v>10</v>
      </c>
    </row>
    <row r="5" spans="1:18" ht="14.45" x14ac:dyDescent="0.3">
      <c r="A5" s="17">
        <v>4</v>
      </c>
      <c r="B5" s="18">
        <v>80722</v>
      </c>
      <c r="C5" s="18">
        <v>23</v>
      </c>
      <c r="D5" s="19" t="s">
        <v>33</v>
      </c>
      <c r="E5" s="19" t="s">
        <v>22</v>
      </c>
      <c r="F5" s="18">
        <v>4</v>
      </c>
      <c r="G5" s="19" t="s">
        <v>16</v>
      </c>
      <c r="H5" s="19">
        <v>43.02</v>
      </c>
      <c r="I5" s="19">
        <v>44.6</v>
      </c>
      <c r="J5" s="19" t="s">
        <v>339</v>
      </c>
      <c r="K5" s="20">
        <v>11.69</v>
      </c>
      <c r="N5">
        <f t="shared" si="0"/>
        <v>80722</v>
      </c>
      <c r="O5">
        <f>IF(AND(A5&gt;0,A5&lt;999),IFERROR(VLOOKUP(results0140[[#This Row],[Card]],U14M[],1,FALSE),0),0)</f>
        <v>80722</v>
      </c>
      <c r="P5">
        <f t="shared" si="1"/>
        <v>4</v>
      </c>
      <c r="Q5" s="5">
        <f t="shared" si="2"/>
        <v>9</v>
      </c>
      <c r="R5" s="5">
        <f t="shared" si="3"/>
        <v>8</v>
      </c>
    </row>
    <row r="6" spans="1:18" ht="14.45" x14ac:dyDescent="0.3">
      <c r="A6" s="13">
        <v>5</v>
      </c>
      <c r="B6" s="14">
        <v>80628</v>
      </c>
      <c r="C6" s="14">
        <v>31</v>
      </c>
      <c r="D6" s="15" t="s">
        <v>58</v>
      </c>
      <c r="E6" s="15" t="s">
        <v>19</v>
      </c>
      <c r="F6" s="14">
        <v>4</v>
      </c>
      <c r="G6" s="15" t="s">
        <v>16</v>
      </c>
      <c r="H6" s="15">
        <v>44</v>
      </c>
      <c r="I6" s="15">
        <v>44.34</v>
      </c>
      <c r="J6" s="15" t="s">
        <v>340</v>
      </c>
      <c r="K6" s="16">
        <v>17.7</v>
      </c>
      <c r="N6">
        <f t="shared" si="0"/>
        <v>80628</v>
      </c>
      <c r="O6">
        <f>IF(AND(A6&gt;0,A6&lt;999),IFERROR(VLOOKUP(results0140[[#This Row],[Card]],U14M[],1,FALSE),0),0)</f>
        <v>80628</v>
      </c>
      <c r="P6">
        <f t="shared" si="1"/>
        <v>5</v>
      </c>
      <c r="Q6" s="5">
        <f t="shared" si="2"/>
        <v>13</v>
      </c>
      <c r="R6" s="5">
        <f t="shared" si="3"/>
        <v>5</v>
      </c>
    </row>
    <row r="7" spans="1:18" ht="14.45" x14ac:dyDescent="0.3">
      <c r="A7" s="17">
        <v>6</v>
      </c>
      <c r="B7" s="18">
        <v>77214</v>
      </c>
      <c r="C7" s="18">
        <v>43</v>
      </c>
      <c r="D7" s="19" t="s">
        <v>154</v>
      </c>
      <c r="E7" s="19" t="s">
        <v>155</v>
      </c>
      <c r="F7" s="18">
        <v>5</v>
      </c>
      <c r="G7" s="19" t="s">
        <v>16</v>
      </c>
      <c r="H7" s="19">
        <v>44.1</v>
      </c>
      <c r="I7" s="19">
        <v>45.32</v>
      </c>
      <c r="J7" s="19" t="s">
        <v>341</v>
      </c>
      <c r="K7" s="20">
        <v>26.72</v>
      </c>
      <c r="N7">
        <f t="shared" si="0"/>
        <v>77214</v>
      </c>
      <c r="O7">
        <f>IF(AND(A7&gt;0,A7&lt;999),IFERROR(VLOOKUP(results0140[[#This Row],[Card]],U14M[],1,FALSE),0),0)</f>
        <v>77214</v>
      </c>
      <c r="P7">
        <f t="shared" si="1"/>
        <v>6</v>
      </c>
      <c r="Q7" s="5">
        <f t="shared" si="2"/>
        <v>15</v>
      </c>
      <c r="R7" s="5">
        <f t="shared" si="3"/>
        <v>13</v>
      </c>
    </row>
    <row r="8" spans="1:18" ht="14.45" x14ac:dyDescent="0.3">
      <c r="A8" s="13">
        <v>7</v>
      </c>
      <c r="B8" s="14">
        <v>80669</v>
      </c>
      <c r="C8" s="14">
        <v>17</v>
      </c>
      <c r="D8" s="15" t="s">
        <v>70</v>
      </c>
      <c r="E8" s="15" t="s">
        <v>15</v>
      </c>
      <c r="F8" s="14">
        <v>4</v>
      </c>
      <c r="G8" s="15" t="s">
        <v>16</v>
      </c>
      <c r="H8" s="15">
        <v>42.06</v>
      </c>
      <c r="I8" s="15">
        <v>47.5</v>
      </c>
      <c r="J8" s="15" t="s">
        <v>342</v>
      </c>
      <c r="K8" s="16">
        <v>27.89</v>
      </c>
      <c r="N8">
        <f t="shared" si="0"/>
        <v>80669</v>
      </c>
      <c r="O8">
        <f>IF(AND(A8&gt;0,A8&lt;999),IFERROR(VLOOKUP(results0140[[#This Row],[Card]],U14M[],1,FALSE),0),0)</f>
        <v>80669</v>
      </c>
      <c r="P8">
        <f t="shared" si="1"/>
        <v>7</v>
      </c>
      <c r="Q8" s="5">
        <f t="shared" si="2"/>
        <v>3</v>
      </c>
      <c r="R8" s="5">
        <f t="shared" si="3"/>
        <v>22</v>
      </c>
    </row>
    <row r="9" spans="1:18" ht="14.45" x14ac:dyDescent="0.3">
      <c r="A9" s="17">
        <v>8</v>
      </c>
      <c r="B9" s="18">
        <v>78165</v>
      </c>
      <c r="C9" s="18">
        <v>57</v>
      </c>
      <c r="D9" s="19" t="s">
        <v>119</v>
      </c>
      <c r="E9" s="19" t="s">
        <v>61</v>
      </c>
      <c r="F9" s="18">
        <v>4</v>
      </c>
      <c r="G9" s="19" t="s">
        <v>16</v>
      </c>
      <c r="H9" s="19">
        <v>45.15</v>
      </c>
      <c r="I9" s="19">
        <v>44.58</v>
      </c>
      <c r="J9" s="19" t="s">
        <v>343</v>
      </c>
      <c r="K9" s="20">
        <v>29.31</v>
      </c>
      <c r="N9">
        <f t="shared" si="0"/>
        <v>78165</v>
      </c>
      <c r="O9">
        <f>IF(AND(A9&gt;0,A9&lt;999),IFERROR(VLOOKUP(results0140[[#This Row],[Card]],U14M[],1,FALSE),0),0)</f>
        <v>78165</v>
      </c>
      <c r="P9">
        <f t="shared" si="1"/>
        <v>8</v>
      </c>
      <c r="Q9" s="5">
        <f t="shared" si="2"/>
        <v>23</v>
      </c>
      <c r="R9" s="5">
        <f t="shared" si="3"/>
        <v>7</v>
      </c>
    </row>
    <row r="10" spans="1:18" ht="14.45" x14ac:dyDescent="0.3">
      <c r="A10" s="13">
        <v>9</v>
      </c>
      <c r="B10" s="14">
        <v>78610</v>
      </c>
      <c r="C10" s="14">
        <v>55</v>
      </c>
      <c r="D10" s="15" t="s">
        <v>133</v>
      </c>
      <c r="E10" s="15" t="s">
        <v>15</v>
      </c>
      <c r="F10" s="14">
        <v>5</v>
      </c>
      <c r="G10" s="15" t="s">
        <v>16</v>
      </c>
      <c r="H10" s="15">
        <v>44.71</v>
      </c>
      <c r="I10" s="15">
        <v>45.27</v>
      </c>
      <c r="J10" s="15" t="s">
        <v>344</v>
      </c>
      <c r="K10" s="16">
        <v>31.4</v>
      </c>
      <c r="N10">
        <f t="shared" si="0"/>
        <v>78610</v>
      </c>
      <c r="O10">
        <f>IF(AND(A10&gt;0,A10&lt;999),IFERROR(VLOOKUP(results0140[[#This Row],[Card]],U14M[],1,FALSE),0),0)</f>
        <v>78610</v>
      </c>
      <c r="P10">
        <f t="shared" si="1"/>
        <v>9</v>
      </c>
      <c r="Q10" s="5">
        <f t="shared" si="2"/>
        <v>21</v>
      </c>
      <c r="R10" s="5">
        <f t="shared" si="3"/>
        <v>12</v>
      </c>
    </row>
    <row r="11" spans="1:18" ht="14.45" x14ac:dyDescent="0.3">
      <c r="A11" s="17">
        <v>10</v>
      </c>
      <c r="B11" s="18">
        <v>78619</v>
      </c>
      <c r="C11" s="18">
        <v>48</v>
      </c>
      <c r="D11" s="19" t="s">
        <v>121</v>
      </c>
      <c r="E11" s="19" t="s">
        <v>61</v>
      </c>
      <c r="F11" s="18">
        <v>4</v>
      </c>
      <c r="G11" s="19" t="s">
        <v>16</v>
      </c>
      <c r="H11" s="19">
        <v>45.36</v>
      </c>
      <c r="I11" s="19">
        <v>44.82</v>
      </c>
      <c r="J11" s="19" t="s">
        <v>345</v>
      </c>
      <c r="K11" s="20">
        <v>33.07</v>
      </c>
      <c r="N11">
        <f t="shared" si="0"/>
        <v>78619</v>
      </c>
      <c r="O11">
        <f>IF(AND(A11&gt;0,A11&lt;999),IFERROR(VLOOKUP(results0140[[#This Row],[Card]],U14M[],1,FALSE),0),0)</f>
        <v>78619</v>
      </c>
      <c r="P11">
        <f t="shared" si="1"/>
        <v>10</v>
      </c>
      <c r="Q11" s="5">
        <f t="shared" si="2"/>
        <v>26</v>
      </c>
      <c r="R11" s="5">
        <f t="shared" si="3"/>
        <v>11</v>
      </c>
    </row>
    <row r="12" spans="1:18" ht="14.45" x14ac:dyDescent="0.3">
      <c r="A12" s="13">
        <v>11</v>
      </c>
      <c r="B12" s="14">
        <v>81112</v>
      </c>
      <c r="C12" s="14">
        <v>88</v>
      </c>
      <c r="D12" s="15" t="s">
        <v>63</v>
      </c>
      <c r="E12" s="15" t="s">
        <v>22</v>
      </c>
      <c r="F12" s="14">
        <v>4</v>
      </c>
      <c r="G12" s="15" t="s">
        <v>16</v>
      </c>
      <c r="H12" s="15">
        <v>44.06</v>
      </c>
      <c r="I12" s="15">
        <v>46.45</v>
      </c>
      <c r="J12" s="15" t="s">
        <v>346</v>
      </c>
      <c r="K12" s="16">
        <v>35.82</v>
      </c>
      <c r="N12">
        <f t="shared" si="0"/>
        <v>81112</v>
      </c>
      <c r="O12">
        <f>IF(AND(A12&gt;0,A12&lt;999),IFERROR(VLOOKUP(results0140[[#This Row],[Card]],U14M[],1,FALSE),0),0)</f>
        <v>81112</v>
      </c>
      <c r="P12">
        <f t="shared" si="1"/>
        <v>11</v>
      </c>
      <c r="Q12" s="5">
        <f t="shared" si="2"/>
        <v>14</v>
      </c>
      <c r="R12" s="5">
        <f t="shared" si="3"/>
        <v>18</v>
      </c>
    </row>
    <row r="13" spans="1:18" ht="14.45" x14ac:dyDescent="0.3">
      <c r="A13" s="17">
        <v>12</v>
      </c>
      <c r="B13" s="18">
        <v>78164</v>
      </c>
      <c r="C13" s="18">
        <v>47</v>
      </c>
      <c r="D13" s="19" t="s">
        <v>129</v>
      </c>
      <c r="E13" s="19" t="s">
        <v>61</v>
      </c>
      <c r="F13" s="18">
        <v>5</v>
      </c>
      <c r="G13" s="19" t="s">
        <v>16</v>
      </c>
      <c r="H13" s="19">
        <v>44.6</v>
      </c>
      <c r="I13" s="19">
        <v>46.28</v>
      </c>
      <c r="J13" s="19" t="s">
        <v>347</v>
      </c>
      <c r="K13" s="20">
        <v>38.909999999999997</v>
      </c>
      <c r="N13">
        <f t="shared" si="0"/>
        <v>78164</v>
      </c>
      <c r="O13">
        <f>IF(AND(A13&gt;0,A13&lt;999),IFERROR(VLOOKUP(results0140[[#This Row],[Card]],U14M[],1,FALSE),0),0)</f>
        <v>78164</v>
      </c>
      <c r="P13">
        <f t="shared" si="1"/>
        <v>12</v>
      </c>
      <c r="Q13" s="5">
        <f t="shared" si="2"/>
        <v>18</v>
      </c>
      <c r="R13" s="5">
        <f t="shared" si="3"/>
        <v>16</v>
      </c>
    </row>
    <row r="14" spans="1:18" ht="14.45" x14ac:dyDescent="0.3">
      <c r="A14" s="13">
        <v>13</v>
      </c>
      <c r="B14" s="14">
        <v>80828</v>
      </c>
      <c r="C14" s="14">
        <v>52</v>
      </c>
      <c r="D14" s="15" t="s">
        <v>88</v>
      </c>
      <c r="E14" s="15" t="s">
        <v>54</v>
      </c>
      <c r="F14" s="14">
        <v>5</v>
      </c>
      <c r="G14" s="15" t="s">
        <v>16</v>
      </c>
      <c r="H14" s="15">
        <v>45.28</v>
      </c>
      <c r="I14" s="15">
        <v>45.96</v>
      </c>
      <c r="J14" s="15" t="s">
        <v>348</v>
      </c>
      <c r="K14" s="16">
        <v>41.92</v>
      </c>
      <c r="N14">
        <f t="shared" si="0"/>
        <v>80828</v>
      </c>
      <c r="O14">
        <f>IF(AND(A14&gt;0,A14&lt;999),IFERROR(VLOOKUP(results0140[[#This Row],[Card]],U14M[],1,FALSE),0),0)</f>
        <v>80828</v>
      </c>
      <c r="P14">
        <f t="shared" si="1"/>
        <v>13</v>
      </c>
      <c r="Q14" s="5">
        <f t="shared" si="2"/>
        <v>24</v>
      </c>
      <c r="R14" s="5">
        <f t="shared" si="3"/>
        <v>15</v>
      </c>
    </row>
    <row r="15" spans="1:18" ht="14.45" x14ac:dyDescent="0.3">
      <c r="A15" s="17">
        <v>14</v>
      </c>
      <c r="B15" s="18">
        <v>80718</v>
      </c>
      <c r="C15" s="18">
        <v>40</v>
      </c>
      <c r="D15" s="19" t="s">
        <v>94</v>
      </c>
      <c r="E15" s="19" t="s">
        <v>22</v>
      </c>
      <c r="F15" s="18">
        <v>4</v>
      </c>
      <c r="G15" s="19" t="s">
        <v>16</v>
      </c>
      <c r="H15" s="19">
        <v>46.33</v>
      </c>
      <c r="I15" s="19">
        <v>46.8</v>
      </c>
      <c r="J15" s="19" t="s">
        <v>349</v>
      </c>
      <c r="K15" s="20">
        <v>57.7</v>
      </c>
      <c r="N15">
        <f t="shared" si="0"/>
        <v>80718</v>
      </c>
      <c r="O15">
        <f>IF(AND(A15&gt;0,A15&lt;999),IFERROR(VLOOKUP(results0140[[#This Row],[Card]],U14M[],1,FALSE),0),0)</f>
        <v>80718</v>
      </c>
      <c r="P15">
        <f t="shared" si="1"/>
        <v>14</v>
      </c>
      <c r="Q15" s="5">
        <f t="shared" si="2"/>
        <v>32</v>
      </c>
      <c r="R15" s="5">
        <f t="shared" si="3"/>
        <v>19</v>
      </c>
    </row>
    <row r="16" spans="1:18" ht="14.45" x14ac:dyDescent="0.3">
      <c r="A16" s="13">
        <v>15</v>
      </c>
      <c r="B16" s="14">
        <v>81879</v>
      </c>
      <c r="C16" s="14">
        <v>106</v>
      </c>
      <c r="D16" s="15" t="s">
        <v>146</v>
      </c>
      <c r="E16" s="15" t="s">
        <v>22</v>
      </c>
      <c r="F16" s="14">
        <v>5</v>
      </c>
      <c r="G16" s="15" t="s">
        <v>16</v>
      </c>
      <c r="H16" s="15">
        <v>47.11</v>
      </c>
      <c r="I16" s="15">
        <v>47</v>
      </c>
      <c r="J16" s="15" t="s">
        <v>350</v>
      </c>
      <c r="K16" s="16">
        <v>65.89</v>
      </c>
      <c r="N16">
        <f t="shared" si="0"/>
        <v>81879</v>
      </c>
      <c r="O16">
        <f>IF(AND(A16&gt;0,A16&lt;999),IFERROR(VLOOKUP(results0140[[#This Row],[Card]],U14M[],1,FALSE),0),0)</f>
        <v>81879</v>
      </c>
      <c r="P16">
        <f t="shared" si="1"/>
        <v>15</v>
      </c>
      <c r="Q16" s="5">
        <f t="shared" si="2"/>
        <v>37</v>
      </c>
      <c r="R16" s="5">
        <f t="shared" si="3"/>
        <v>20</v>
      </c>
    </row>
    <row r="17" spans="1:18" ht="14.45" x14ac:dyDescent="0.3">
      <c r="A17" s="17">
        <v>16</v>
      </c>
      <c r="B17" s="18">
        <v>80714</v>
      </c>
      <c r="C17" s="18">
        <v>56</v>
      </c>
      <c r="D17" s="19" t="s">
        <v>152</v>
      </c>
      <c r="E17" s="19" t="s">
        <v>22</v>
      </c>
      <c r="F17" s="18">
        <v>5</v>
      </c>
      <c r="G17" s="19" t="s">
        <v>16</v>
      </c>
      <c r="H17" s="19">
        <v>46.9</v>
      </c>
      <c r="I17" s="19">
        <v>47.34</v>
      </c>
      <c r="J17" s="19" t="s">
        <v>351</v>
      </c>
      <c r="K17" s="20">
        <v>66.97</v>
      </c>
      <c r="N17">
        <f t="shared" si="0"/>
        <v>80714</v>
      </c>
      <c r="O17">
        <f>IF(AND(A17&gt;0,A17&lt;999),IFERROR(VLOOKUP(results0140[[#This Row],[Card]],U14M[],1,FALSE),0),0)</f>
        <v>80714</v>
      </c>
      <c r="P17">
        <f t="shared" si="1"/>
        <v>16</v>
      </c>
      <c r="Q17" s="5">
        <f t="shared" si="2"/>
        <v>35</v>
      </c>
      <c r="R17" s="5">
        <f t="shared" si="3"/>
        <v>21</v>
      </c>
    </row>
    <row r="18" spans="1:18" ht="14.45" x14ac:dyDescent="0.3">
      <c r="A18" s="13">
        <v>17</v>
      </c>
      <c r="B18" s="14">
        <v>81810</v>
      </c>
      <c r="C18" s="14">
        <v>66</v>
      </c>
      <c r="D18" s="15" t="s">
        <v>329</v>
      </c>
      <c r="E18" s="15" t="s">
        <v>54</v>
      </c>
      <c r="F18" s="14">
        <v>4</v>
      </c>
      <c r="G18" s="15" t="s">
        <v>16</v>
      </c>
      <c r="H18" s="15">
        <v>46.39</v>
      </c>
      <c r="I18" s="15">
        <v>47.93</v>
      </c>
      <c r="J18" s="15" t="s">
        <v>352</v>
      </c>
      <c r="K18" s="16">
        <v>67.64</v>
      </c>
      <c r="N18">
        <f t="shared" si="0"/>
        <v>81810</v>
      </c>
      <c r="O18">
        <f>IF(AND(A18&gt;0,A18&lt;999),IFERROR(VLOOKUP(results0140[[#This Row],[Card]],U14M[],1,FALSE),0),0)</f>
        <v>81810</v>
      </c>
      <c r="P18">
        <f t="shared" si="1"/>
        <v>17</v>
      </c>
      <c r="Q18" s="5">
        <f t="shared" si="2"/>
        <v>33</v>
      </c>
      <c r="R18" s="5">
        <f t="shared" si="3"/>
        <v>24</v>
      </c>
    </row>
    <row r="19" spans="1:18" ht="14.45" x14ac:dyDescent="0.3">
      <c r="A19" s="17">
        <v>18</v>
      </c>
      <c r="B19" s="18">
        <v>81481</v>
      </c>
      <c r="C19" s="18">
        <v>38</v>
      </c>
      <c r="D19" s="19" t="s">
        <v>182</v>
      </c>
      <c r="E19" s="19" t="s">
        <v>31</v>
      </c>
      <c r="F19" s="18">
        <v>4</v>
      </c>
      <c r="G19" s="19" t="s">
        <v>16</v>
      </c>
      <c r="H19" s="19">
        <v>46.89</v>
      </c>
      <c r="I19" s="19">
        <v>48.64</v>
      </c>
      <c r="J19" s="19" t="s">
        <v>353</v>
      </c>
      <c r="K19" s="20">
        <v>77.75</v>
      </c>
      <c r="N19">
        <f t="shared" si="0"/>
        <v>81481</v>
      </c>
      <c r="O19">
        <f>IF(AND(A19&gt;0,A19&lt;999),IFERROR(VLOOKUP(results0140[[#This Row],[Card]],U14M[],1,FALSE),0),0)</f>
        <v>81481</v>
      </c>
      <c r="P19">
        <f t="shared" si="1"/>
        <v>18</v>
      </c>
      <c r="Q19" s="5">
        <f t="shared" si="2"/>
        <v>34</v>
      </c>
      <c r="R19" s="5">
        <f t="shared" si="3"/>
        <v>28</v>
      </c>
    </row>
    <row r="20" spans="1:18" ht="14.45" x14ac:dyDescent="0.3">
      <c r="A20" s="13">
        <v>19</v>
      </c>
      <c r="B20" s="14">
        <v>80630</v>
      </c>
      <c r="C20" s="14">
        <v>81</v>
      </c>
      <c r="D20" s="15" t="s">
        <v>188</v>
      </c>
      <c r="E20" s="15" t="s">
        <v>19</v>
      </c>
      <c r="F20" s="14">
        <v>4</v>
      </c>
      <c r="G20" s="15" t="s">
        <v>16</v>
      </c>
      <c r="H20" s="15">
        <v>48.02</v>
      </c>
      <c r="I20" s="15">
        <v>47.87</v>
      </c>
      <c r="J20" s="15" t="s">
        <v>354</v>
      </c>
      <c r="K20" s="16">
        <v>80.75</v>
      </c>
      <c r="N20">
        <f t="shared" si="0"/>
        <v>80630</v>
      </c>
      <c r="O20">
        <f>IF(AND(A20&gt;0,A20&lt;999),IFERROR(VLOOKUP(results0140[[#This Row],[Card]],U14M[],1,FALSE),0),0)</f>
        <v>80630</v>
      </c>
      <c r="P20">
        <f t="shared" si="1"/>
        <v>19</v>
      </c>
      <c r="Q20" s="5">
        <f t="shared" si="2"/>
        <v>44</v>
      </c>
      <c r="R20" s="5">
        <f t="shared" si="3"/>
        <v>23</v>
      </c>
    </row>
    <row r="21" spans="1:18" ht="14.45" x14ac:dyDescent="0.3">
      <c r="A21" s="17">
        <v>20</v>
      </c>
      <c r="B21" s="18">
        <v>84752</v>
      </c>
      <c r="C21" s="18">
        <v>77</v>
      </c>
      <c r="D21" s="19" t="s">
        <v>140</v>
      </c>
      <c r="E21" s="19" t="s">
        <v>15</v>
      </c>
      <c r="F21" s="18">
        <v>5</v>
      </c>
      <c r="G21" s="19" t="s">
        <v>16</v>
      </c>
      <c r="H21" s="19">
        <v>47.61</v>
      </c>
      <c r="I21" s="19">
        <v>49.24</v>
      </c>
      <c r="J21" s="19" t="s">
        <v>355</v>
      </c>
      <c r="K21" s="20">
        <v>88.77</v>
      </c>
      <c r="N21">
        <f t="shared" si="0"/>
        <v>84752</v>
      </c>
      <c r="O21">
        <f>IF(AND(A21&gt;0,A21&lt;999),IFERROR(VLOOKUP(results0140[[#This Row],[Card]],U14M[],1,FALSE),0),0)</f>
        <v>84752</v>
      </c>
      <c r="P21">
        <f t="shared" si="1"/>
        <v>20</v>
      </c>
      <c r="Q21" s="5">
        <f t="shared" si="2"/>
        <v>39</v>
      </c>
      <c r="R21" s="5">
        <f t="shared" si="3"/>
        <v>30</v>
      </c>
    </row>
    <row r="22" spans="1:18" ht="14.45" x14ac:dyDescent="0.3">
      <c r="A22" s="13">
        <v>21</v>
      </c>
      <c r="B22" s="14">
        <v>82403</v>
      </c>
      <c r="C22" s="14">
        <v>86</v>
      </c>
      <c r="D22" s="15" t="s">
        <v>175</v>
      </c>
      <c r="E22" s="15" t="s">
        <v>19</v>
      </c>
      <c r="F22" s="14">
        <v>5</v>
      </c>
      <c r="G22" s="15" t="s">
        <v>16</v>
      </c>
      <c r="H22" s="15">
        <v>49.02</v>
      </c>
      <c r="I22" s="15">
        <v>49.39</v>
      </c>
      <c r="J22" s="15" t="s">
        <v>356</v>
      </c>
      <c r="K22" s="16">
        <v>101.8</v>
      </c>
      <c r="N22">
        <f t="shared" si="0"/>
        <v>82403</v>
      </c>
      <c r="O22">
        <f>IF(AND(A22&gt;0,A22&lt;999),IFERROR(VLOOKUP(results0140[[#This Row],[Card]],U14M[],1,FALSE),0),0)</f>
        <v>82403</v>
      </c>
      <c r="P22">
        <f t="shared" si="1"/>
        <v>21</v>
      </c>
      <c r="Q22" s="5">
        <f t="shared" si="2"/>
        <v>48</v>
      </c>
      <c r="R22" s="5">
        <f t="shared" si="3"/>
        <v>31</v>
      </c>
    </row>
    <row r="23" spans="1:18" ht="14.45" x14ac:dyDescent="0.3">
      <c r="A23" s="17">
        <v>22</v>
      </c>
      <c r="B23" s="18">
        <v>78181</v>
      </c>
      <c r="C23" s="18">
        <v>89</v>
      </c>
      <c r="D23" s="19" t="s">
        <v>138</v>
      </c>
      <c r="E23" s="19" t="s">
        <v>61</v>
      </c>
      <c r="F23" s="18">
        <v>4</v>
      </c>
      <c r="G23" s="19" t="s">
        <v>16</v>
      </c>
      <c r="H23" s="19">
        <v>49.74</v>
      </c>
      <c r="I23" s="19">
        <v>49.85</v>
      </c>
      <c r="J23" s="19" t="s">
        <v>357</v>
      </c>
      <c r="K23" s="20">
        <v>111.65</v>
      </c>
      <c r="N23">
        <f t="shared" si="0"/>
        <v>78181</v>
      </c>
      <c r="O23">
        <f>IF(AND(A23&gt;0,A23&lt;999),IFERROR(VLOOKUP(results0140[[#This Row],[Card]],U14M[],1,FALSE),0),0)</f>
        <v>78181</v>
      </c>
      <c r="P23">
        <f t="shared" si="1"/>
        <v>22</v>
      </c>
      <c r="Q23" s="5">
        <f t="shared" si="2"/>
        <v>52</v>
      </c>
      <c r="R23" s="5">
        <f t="shared" si="3"/>
        <v>34</v>
      </c>
    </row>
    <row r="24" spans="1:18" ht="14.45" x14ac:dyDescent="0.3">
      <c r="A24" s="13">
        <v>23</v>
      </c>
      <c r="B24" s="14">
        <v>85883</v>
      </c>
      <c r="C24" s="14">
        <v>87</v>
      </c>
      <c r="D24" s="15" t="s">
        <v>51</v>
      </c>
      <c r="E24" s="15" t="s">
        <v>15</v>
      </c>
      <c r="F24" s="14">
        <v>4</v>
      </c>
      <c r="G24" s="15" t="s">
        <v>16</v>
      </c>
      <c r="H24" s="15">
        <v>44.23</v>
      </c>
      <c r="I24" s="15">
        <v>55.54</v>
      </c>
      <c r="J24" s="15" t="s">
        <v>358</v>
      </c>
      <c r="K24" s="16">
        <v>113.15</v>
      </c>
      <c r="N24">
        <f t="shared" si="0"/>
        <v>85883</v>
      </c>
      <c r="O24">
        <f>IF(AND(A24&gt;0,A24&lt;999),IFERROR(VLOOKUP(results0140[[#This Row],[Card]],U14M[],1,FALSE),0),0)</f>
        <v>85883</v>
      </c>
      <c r="P24">
        <f t="shared" si="1"/>
        <v>23</v>
      </c>
      <c r="Q24" s="5">
        <f t="shared" si="2"/>
        <v>16</v>
      </c>
      <c r="R24" s="5">
        <f t="shared" si="3"/>
        <v>53</v>
      </c>
    </row>
    <row r="25" spans="1:18" ht="14.45" x14ac:dyDescent="0.3">
      <c r="A25" s="17">
        <v>24</v>
      </c>
      <c r="B25" s="18">
        <v>80605</v>
      </c>
      <c r="C25" s="18">
        <v>12</v>
      </c>
      <c r="D25" s="19" t="s">
        <v>162</v>
      </c>
      <c r="E25" s="19" t="s">
        <v>163</v>
      </c>
      <c r="F25" s="18">
        <v>5</v>
      </c>
      <c r="G25" s="19" t="s">
        <v>16</v>
      </c>
      <c r="H25" s="19">
        <v>47.96</v>
      </c>
      <c r="I25" s="19">
        <v>51.86</v>
      </c>
      <c r="J25" s="19" t="s">
        <v>359</v>
      </c>
      <c r="K25" s="20">
        <v>113.57</v>
      </c>
      <c r="N25">
        <f t="shared" si="0"/>
        <v>80605</v>
      </c>
      <c r="O25">
        <f>IF(AND(A25&gt;0,A25&lt;999),IFERROR(VLOOKUP(results0140[[#This Row],[Card]],U14M[],1,FALSE),0),0)</f>
        <v>80605</v>
      </c>
      <c r="P25">
        <f t="shared" si="1"/>
        <v>24</v>
      </c>
      <c r="Q25" s="5">
        <f t="shared" si="2"/>
        <v>43</v>
      </c>
      <c r="R25" s="5">
        <f t="shared" si="3"/>
        <v>43</v>
      </c>
    </row>
    <row r="26" spans="1:18" ht="14.45" x14ac:dyDescent="0.3">
      <c r="A26" s="13">
        <v>25</v>
      </c>
      <c r="B26" s="14">
        <v>84722</v>
      </c>
      <c r="C26" s="14">
        <v>83</v>
      </c>
      <c r="D26" s="15" t="s">
        <v>169</v>
      </c>
      <c r="E26" s="15" t="s">
        <v>61</v>
      </c>
      <c r="F26" s="14">
        <v>4</v>
      </c>
      <c r="G26" s="15" t="s">
        <v>16</v>
      </c>
      <c r="H26" s="15">
        <v>49.24</v>
      </c>
      <c r="I26" s="15">
        <v>51.32</v>
      </c>
      <c r="J26" s="15" t="s">
        <v>361</v>
      </c>
      <c r="K26" s="16">
        <v>119.75</v>
      </c>
      <c r="N26">
        <f t="shared" si="0"/>
        <v>84722</v>
      </c>
      <c r="O26">
        <f>IF(AND(A26&gt;0,A26&lt;999),IFERROR(VLOOKUP(results0140[[#This Row],[Card]],U14M[],1,FALSE),0),0)</f>
        <v>84722</v>
      </c>
      <c r="P26">
        <f t="shared" si="1"/>
        <v>25</v>
      </c>
      <c r="Q26" s="5">
        <f t="shared" si="2"/>
        <v>50</v>
      </c>
      <c r="R26" s="5">
        <f t="shared" si="3"/>
        <v>40</v>
      </c>
    </row>
    <row r="27" spans="1:18" ht="14.45" x14ac:dyDescent="0.3">
      <c r="A27" s="17">
        <v>26</v>
      </c>
      <c r="B27" s="18">
        <v>78649</v>
      </c>
      <c r="C27" s="18">
        <v>7</v>
      </c>
      <c r="D27" s="19" t="s">
        <v>308</v>
      </c>
      <c r="E27" s="19" t="s">
        <v>309</v>
      </c>
      <c r="F27" s="18">
        <v>4</v>
      </c>
      <c r="G27" s="19" t="s">
        <v>16</v>
      </c>
      <c r="H27" s="19">
        <v>48.27</v>
      </c>
      <c r="I27" s="19">
        <v>52.36</v>
      </c>
      <c r="J27" s="19" t="s">
        <v>362</v>
      </c>
      <c r="K27" s="20">
        <v>120.33</v>
      </c>
      <c r="N27">
        <f t="shared" si="0"/>
        <v>78649</v>
      </c>
      <c r="O27">
        <f>IF(AND(A27&gt;0,A27&lt;999),IFERROR(VLOOKUP(results0140[[#This Row],[Card]],U14M[],1,FALSE),0),0)</f>
        <v>78649</v>
      </c>
      <c r="P27">
        <f t="shared" si="1"/>
        <v>26</v>
      </c>
      <c r="Q27" s="5">
        <f t="shared" si="2"/>
        <v>46</v>
      </c>
      <c r="R27" s="5">
        <f t="shared" si="3"/>
        <v>46</v>
      </c>
    </row>
    <row r="28" spans="1:18" x14ac:dyDescent="0.25">
      <c r="A28" s="13">
        <v>27</v>
      </c>
      <c r="B28" s="14">
        <v>80700</v>
      </c>
      <c r="C28" s="14">
        <v>80</v>
      </c>
      <c r="D28" s="15" t="s">
        <v>192</v>
      </c>
      <c r="E28" s="15" t="s">
        <v>31</v>
      </c>
      <c r="F28" s="14">
        <v>4</v>
      </c>
      <c r="G28" s="15" t="s">
        <v>16</v>
      </c>
      <c r="H28" s="15">
        <v>50.24</v>
      </c>
      <c r="I28" s="15">
        <v>50.86</v>
      </c>
      <c r="J28" s="15" t="s">
        <v>363</v>
      </c>
      <c r="K28" s="16">
        <v>124.26</v>
      </c>
      <c r="N28">
        <f t="shared" si="0"/>
        <v>80700</v>
      </c>
      <c r="O28">
        <f>IF(AND(A28&gt;0,A28&lt;999),IFERROR(VLOOKUP(results0140[[#This Row],[Card]],U14M[],1,FALSE),0),0)</f>
        <v>80700</v>
      </c>
      <c r="P28">
        <f t="shared" si="1"/>
        <v>27</v>
      </c>
      <c r="Q28" s="5">
        <f t="shared" si="2"/>
        <v>54</v>
      </c>
      <c r="R28" s="5">
        <f t="shared" si="3"/>
        <v>39</v>
      </c>
    </row>
    <row r="29" spans="1:18" x14ac:dyDescent="0.25">
      <c r="A29" s="17">
        <v>28</v>
      </c>
      <c r="B29" s="18">
        <v>80724</v>
      </c>
      <c r="C29" s="18">
        <v>62</v>
      </c>
      <c r="D29" s="19" t="s">
        <v>167</v>
      </c>
      <c r="E29" s="19" t="s">
        <v>22</v>
      </c>
      <c r="F29" s="18">
        <v>4</v>
      </c>
      <c r="G29" s="19" t="s">
        <v>16</v>
      </c>
      <c r="H29" s="19">
        <v>50.51</v>
      </c>
      <c r="I29" s="19">
        <v>51.37</v>
      </c>
      <c r="J29" s="19" t="s">
        <v>364</v>
      </c>
      <c r="K29" s="20">
        <v>130.77000000000001</v>
      </c>
      <c r="N29">
        <f t="shared" si="0"/>
        <v>80724</v>
      </c>
      <c r="O29">
        <f>IF(AND(A29&gt;0,A29&lt;999),IFERROR(VLOOKUP(results0140[[#This Row],[Card]],U14M[],1,FALSE),0),0)</f>
        <v>80724</v>
      </c>
      <c r="P29">
        <f t="shared" si="1"/>
        <v>28</v>
      </c>
      <c r="Q29" s="5">
        <f t="shared" si="2"/>
        <v>55</v>
      </c>
      <c r="R29" s="5">
        <f t="shared" si="3"/>
        <v>41</v>
      </c>
    </row>
    <row r="30" spans="1:18" x14ac:dyDescent="0.25">
      <c r="A30" s="13">
        <v>29</v>
      </c>
      <c r="B30" s="14">
        <v>76510</v>
      </c>
      <c r="C30" s="14">
        <v>95</v>
      </c>
      <c r="D30" s="15" t="s">
        <v>186</v>
      </c>
      <c r="E30" s="15" t="s">
        <v>38</v>
      </c>
      <c r="F30" s="14">
        <v>4</v>
      </c>
      <c r="G30" s="15" t="s">
        <v>16</v>
      </c>
      <c r="H30" s="15">
        <v>52.13</v>
      </c>
      <c r="I30" s="15">
        <v>52.26</v>
      </c>
      <c r="J30" s="15" t="s">
        <v>365</v>
      </c>
      <c r="K30" s="16">
        <v>151.72999999999999</v>
      </c>
      <c r="N30">
        <f t="shared" si="0"/>
        <v>76510</v>
      </c>
      <c r="O30">
        <f>IF(AND(A30&gt;0,A30&lt;999),IFERROR(VLOOKUP(results0140[[#This Row],[Card]],U14M[],1,FALSE),0),0)</f>
        <v>76510</v>
      </c>
      <c r="P30">
        <f t="shared" si="1"/>
        <v>29</v>
      </c>
      <c r="Q30" s="5">
        <f t="shared" si="2"/>
        <v>62</v>
      </c>
      <c r="R30" s="5">
        <f t="shared" si="3"/>
        <v>45</v>
      </c>
    </row>
    <row r="31" spans="1:18" x14ac:dyDescent="0.25">
      <c r="A31" s="17">
        <v>30</v>
      </c>
      <c r="B31" s="18">
        <v>80692</v>
      </c>
      <c r="C31" s="18">
        <v>105</v>
      </c>
      <c r="D31" s="19" t="s">
        <v>317</v>
      </c>
      <c r="E31" s="19" t="s">
        <v>31</v>
      </c>
      <c r="F31" s="18">
        <v>5</v>
      </c>
      <c r="G31" s="19" t="s">
        <v>16</v>
      </c>
      <c r="H31" s="19">
        <v>52.07</v>
      </c>
      <c r="I31" s="19">
        <v>52.77</v>
      </c>
      <c r="J31" s="19" t="s">
        <v>366</v>
      </c>
      <c r="K31" s="20">
        <v>155.49</v>
      </c>
      <c r="N31">
        <f t="shared" si="0"/>
        <v>80692</v>
      </c>
      <c r="O31">
        <f>IF(AND(A31&gt;0,A31&lt;999),IFERROR(VLOOKUP(results0140[[#This Row],[Card]],U14M[],1,FALSE),0),0)</f>
        <v>80692</v>
      </c>
      <c r="P31">
        <f t="shared" si="1"/>
        <v>30</v>
      </c>
      <c r="Q31" s="5">
        <f t="shared" si="2"/>
        <v>61</v>
      </c>
      <c r="R31" s="5">
        <f t="shared" si="3"/>
        <v>48</v>
      </c>
    </row>
    <row r="32" spans="1:18" x14ac:dyDescent="0.25">
      <c r="A32" s="13">
        <v>31</v>
      </c>
      <c r="B32" s="14">
        <v>81505</v>
      </c>
      <c r="C32" s="14">
        <v>107</v>
      </c>
      <c r="D32" s="15" t="s">
        <v>315</v>
      </c>
      <c r="E32" s="15" t="s">
        <v>22</v>
      </c>
      <c r="F32" s="14">
        <v>5</v>
      </c>
      <c r="G32" s="15" t="s">
        <v>16</v>
      </c>
      <c r="H32" s="15">
        <v>52.17</v>
      </c>
      <c r="I32" s="15">
        <v>54.08</v>
      </c>
      <c r="J32" s="15" t="s">
        <v>368</v>
      </c>
      <c r="K32" s="16">
        <v>167.27</v>
      </c>
      <c r="N32">
        <f t="shared" si="0"/>
        <v>81505</v>
      </c>
      <c r="O32">
        <f>IF(AND(A32&gt;0,A32&lt;999),IFERROR(VLOOKUP(results0140[[#This Row],[Card]],U14M[],1,FALSE),0),0)</f>
        <v>81505</v>
      </c>
      <c r="P32">
        <f t="shared" si="1"/>
        <v>31</v>
      </c>
      <c r="Q32" s="5">
        <f t="shared" si="2"/>
        <v>63</v>
      </c>
      <c r="R32" s="5">
        <f t="shared" si="3"/>
        <v>49</v>
      </c>
    </row>
    <row r="33" spans="1:18" x14ac:dyDescent="0.25">
      <c r="A33" s="17">
        <v>32</v>
      </c>
      <c r="B33" s="18">
        <v>78504</v>
      </c>
      <c r="C33" s="18">
        <v>104</v>
      </c>
      <c r="D33" s="19" t="s">
        <v>210</v>
      </c>
      <c r="E33" s="19" t="s">
        <v>19</v>
      </c>
      <c r="F33" s="18">
        <v>5</v>
      </c>
      <c r="G33" s="19" t="s">
        <v>16</v>
      </c>
      <c r="H33" s="19">
        <v>54.39</v>
      </c>
      <c r="I33" s="19">
        <v>54.91</v>
      </c>
      <c r="J33" s="19" t="s">
        <v>369</v>
      </c>
      <c r="K33" s="20">
        <v>192.73</v>
      </c>
      <c r="N33">
        <f t="shared" si="0"/>
        <v>78504</v>
      </c>
      <c r="O33">
        <f>IF(AND(A33&gt;0,A33&lt;999),IFERROR(VLOOKUP(results0140[[#This Row],[Card]],U14M[],1,FALSE),0),0)</f>
        <v>78504</v>
      </c>
      <c r="P33">
        <f t="shared" si="1"/>
        <v>32</v>
      </c>
      <c r="Q33" s="5">
        <f t="shared" si="2"/>
        <v>65</v>
      </c>
      <c r="R33" s="5">
        <f t="shared" si="3"/>
        <v>52</v>
      </c>
    </row>
    <row r="34" spans="1:18" x14ac:dyDescent="0.25">
      <c r="A34" s="13">
        <v>33</v>
      </c>
      <c r="B34" s="14">
        <v>82442</v>
      </c>
      <c r="C34" s="14">
        <v>102</v>
      </c>
      <c r="D34" s="15" t="s">
        <v>204</v>
      </c>
      <c r="E34" s="15" t="s">
        <v>42</v>
      </c>
      <c r="F34" s="14">
        <v>5</v>
      </c>
      <c r="G34" s="15" t="s">
        <v>16</v>
      </c>
      <c r="H34" s="15">
        <v>55.31</v>
      </c>
      <c r="I34" s="15">
        <v>55.76</v>
      </c>
      <c r="J34" s="15" t="s">
        <v>372</v>
      </c>
      <c r="K34" s="16">
        <v>207.52</v>
      </c>
      <c r="N34">
        <f t="shared" ref="N34:N65" si="4">B34</f>
        <v>82442</v>
      </c>
      <c r="O34">
        <f>IF(AND(A34&gt;0,A34&lt;999),IFERROR(VLOOKUP(results0140[[#This Row],[Card]],U14M[],1,FALSE),0),0)</f>
        <v>82442</v>
      </c>
      <c r="P34">
        <f t="shared" ref="P34:P65" si="5">A34</f>
        <v>33</v>
      </c>
      <c r="Q34" s="5">
        <f t="shared" ref="Q34:Q65" si="6">IFERROR(_xlfn.RANK.EQ(H34,$H$2:$H$117,1),999)</f>
        <v>66</v>
      </c>
      <c r="R34" s="5">
        <f t="shared" ref="R34:R65" si="7">IFERROR(_xlfn.RANK.EQ(I34,$I$2:$I$117,1),999)</f>
        <v>54</v>
      </c>
    </row>
    <row r="35" spans="1:18" x14ac:dyDescent="0.25">
      <c r="A35" s="17">
        <v>34</v>
      </c>
      <c r="B35" s="18">
        <v>77422</v>
      </c>
      <c r="C35" s="18">
        <v>41</v>
      </c>
      <c r="D35" s="19" t="s">
        <v>84</v>
      </c>
      <c r="E35" s="19" t="s">
        <v>54</v>
      </c>
      <c r="F35" s="18">
        <v>4</v>
      </c>
      <c r="G35" s="19" t="s">
        <v>16</v>
      </c>
      <c r="H35" s="19">
        <v>56.16</v>
      </c>
      <c r="I35" s="19">
        <v>56.76</v>
      </c>
      <c r="J35" s="19" t="s">
        <v>374</v>
      </c>
      <c r="K35" s="20">
        <v>222.96</v>
      </c>
      <c r="N35">
        <f t="shared" si="4"/>
        <v>77422</v>
      </c>
      <c r="O35">
        <f>IF(AND(A35&gt;0,A35&lt;999),IFERROR(VLOOKUP(results0140[[#This Row],[Card]],U14M[],1,FALSE),0),0)</f>
        <v>77422</v>
      </c>
      <c r="P35">
        <f t="shared" si="5"/>
        <v>34</v>
      </c>
      <c r="Q35" s="5">
        <f t="shared" si="6"/>
        <v>68</v>
      </c>
      <c r="R35" s="5">
        <f t="shared" si="7"/>
        <v>56</v>
      </c>
    </row>
    <row r="36" spans="1:18" x14ac:dyDescent="0.25">
      <c r="A36" s="13">
        <v>35</v>
      </c>
      <c r="B36" s="14">
        <v>81801</v>
      </c>
      <c r="C36" s="14">
        <v>103</v>
      </c>
      <c r="D36" s="15" t="s">
        <v>208</v>
      </c>
      <c r="E36" s="15" t="s">
        <v>61</v>
      </c>
      <c r="F36" s="14">
        <v>5</v>
      </c>
      <c r="G36" s="15" t="s">
        <v>16</v>
      </c>
      <c r="H36" s="15">
        <v>57.56</v>
      </c>
      <c r="I36" s="15">
        <v>58.8</v>
      </c>
      <c r="J36" s="15" t="s">
        <v>375</v>
      </c>
      <c r="K36" s="16">
        <v>251.69</v>
      </c>
      <c r="N36">
        <f t="shared" si="4"/>
        <v>81801</v>
      </c>
      <c r="O36">
        <f>IF(AND(A36&gt;0,A36&lt;999),IFERROR(VLOOKUP(results0140[[#This Row],[Card]],U14M[],1,FALSE),0),0)</f>
        <v>81801</v>
      </c>
      <c r="P36">
        <f t="shared" si="5"/>
        <v>35</v>
      </c>
      <c r="Q36" s="5">
        <f t="shared" si="6"/>
        <v>70</v>
      </c>
      <c r="R36" s="5">
        <f t="shared" si="7"/>
        <v>58</v>
      </c>
    </row>
    <row r="37" spans="1:18" x14ac:dyDescent="0.25">
      <c r="A37" s="17">
        <v>36</v>
      </c>
      <c r="B37" s="18">
        <v>81880</v>
      </c>
      <c r="C37" s="18">
        <v>108</v>
      </c>
      <c r="D37" s="19" t="s">
        <v>212</v>
      </c>
      <c r="E37" s="19" t="s">
        <v>61</v>
      </c>
      <c r="F37" s="18">
        <v>5</v>
      </c>
      <c r="G37" s="19" t="s">
        <v>16</v>
      </c>
      <c r="H37" s="19">
        <v>58.91</v>
      </c>
      <c r="I37" s="19" t="s">
        <v>376</v>
      </c>
      <c r="J37" s="19" t="s">
        <v>377</v>
      </c>
      <c r="K37" s="20">
        <v>285.26</v>
      </c>
      <c r="N37">
        <f t="shared" si="4"/>
        <v>81880</v>
      </c>
      <c r="O37">
        <f>IF(AND(A37&gt;0,A37&lt;999),IFERROR(VLOOKUP(results0140[[#This Row],[Card]],U14M[],1,FALSE),0),0)</f>
        <v>81880</v>
      </c>
      <c r="P37">
        <f t="shared" si="5"/>
        <v>36</v>
      </c>
      <c r="Q37" s="5">
        <f t="shared" si="6"/>
        <v>71</v>
      </c>
      <c r="R37" s="5">
        <f t="shared" si="7"/>
        <v>999</v>
      </c>
    </row>
    <row r="38" spans="1:18" x14ac:dyDescent="0.25">
      <c r="A38" s="13">
        <v>999</v>
      </c>
      <c r="B38" s="14">
        <v>80610</v>
      </c>
      <c r="C38" s="14">
        <v>21</v>
      </c>
      <c r="D38" s="15" t="s">
        <v>219</v>
      </c>
      <c r="E38" s="15" t="s">
        <v>15</v>
      </c>
      <c r="F38" s="14">
        <v>5</v>
      </c>
      <c r="G38" s="15" t="s">
        <v>16</v>
      </c>
      <c r="H38" s="15" t="s">
        <v>215</v>
      </c>
      <c r="I38" s="15" t="s">
        <v>215</v>
      </c>
      <c r="J38" s="15"/>
      <c r="K38" s="16">
        <v>0</v>
      </c>
      <c r="N38">
        <f t="shared" si="4"/>
        <v>80610</v>
      </c>
      <c r="O38">
        <f>IF(AND(A38&gt;0,A38&lt;999),IFERROR(VLOOKUP(results0140[[#This Row],[Card]],U14M[],1,FALSE),0),0)</f>
        <v>0</v>
      </c>
      <c r="P38">
        <f t="shared" si="5"/>
        <v>999</v>
      </c>
      <c r="Q38" s="5">
        <f t="shared" si="6"/>
        <v>999</v>
      </c>
      <c r="R38" s="5">
        <f t="shared" si="7"/>
        <v>999</v>
      </c>
    </row>
    <row r="39" spans="1:18" x14ac:dyDescent="0.25">
      <c r="A39" s="17">
        <v>999</v>
      </c>
      <c r="B39" s="18">
        <v>81740</v>
      </c>
      <c r="C39" s="18">
        <v>94</v>
      </c>
      <c r="D39" s="19" t="s">
        <v>160</v>
      </c>
      <c r="E39" s="19" t="s">
        <v>31</v>
      </c>
      <c r="F39" s="18">
        <v>4</v>
      </c>
      <c r="G39" s="19" t="s">
        <v>16</v>
      </c>
      <c r="H39" s="19" t="s">
        <v>215</v>
      </c>
      <c r="I39" s="19" t="s">
        <v>215</v>
      </c>
      <c r="J39" s="19"/>
      <c r="K39" s="20">
        <v>0</v>
      </c>
      <c r="N39">
        <f t="shared" si="4"/>
        <v>81740</v>
      </c>
      <c r="O39">
        <f>IF(AND(A39&gt;0,A39&lt;999),IFERROR(VLOOKUP(results0140[[#This Row],[Card]],U14M[],1,FALSE),0),0)</f>
        <v>0</v>
      </c>
      <c r="P39">
        <f t="shared" si="5"/>
        <v>999</v>
      </c>
      <c r="Q39" s="5">
        <f t="shared" si="6"/>
        <v>999</v>
      </c>
      <c r="R39" s="5">
        <f t="shared" si="7"/>
        <v>999</v>
      </c>
    </row>
    <row r="40" spans="1:18" x14ac:dyDescent="0.25">
      <c r="A40" s="13">
        <v>999</v>
      </c>
      <c r="B40" s="14">
        <v>77368</v>
      </c>
      <c r="C40" s="14">
        <v>1</v>
      </c>
      <c r="D40" s="15" t="s">
        <v>35</v>
      </c>
      <c r="E40" s="15" t="s">
        <v>15</v>
      </c>
      <c r="F40" s="14">
        <v>4</v>
      </c>
      <c r="G40" s="15" t="s">
        <v>16</v>
      </c>
      <c r="H40" s="15" t="s">
        <v>220</v>
      </c>
      <c r="I40" s="15">
        <v>48.6</v>
      </c>
      <c r="J40" s="15"/>
      <c r="K40" s="16">
        <v>0</v>
      </c>
      <c r="N40">
        <f t="shared" si="4"/>
        <v>77368</v>
      </c>
      <c r="O40">
        <f>IF(AND(A40&gt;0,A40&lt;999),IFERROR(VLOOKUP(results0140[[#This Row],[Card]],U14M[],1,FALSE),0),0)</f>
        <v>0</v>
      </c>
      <c r="P40">
        <f t="shared" si="5"/>
        <v>999</v>
      </c>
      <c r="Q40" s="5">
        <f t="shared" si="6"/>
        <v>999</v>
      </c>
      <c r="R40" s="5">
        <f t="shared" si="7"/>
        <v>27</v>
      </c>
    </row>
    <row r="41" spans="1:18" x14ac:dyDescent="0.25">
      <c r="A41" s="17">
        <v>999</v>
      </c>
      <c r="B41" s="18">
        <v>80713</v>
      </c>
      <c r="C41" s="18">
        <v>3</v>
      </c>
      <c r="D41" s="19" t="s">
        <v>21</v>
      </c>
      <c r="E41" s="19" t="s">
        <v>22</v>
      </c>
      <c r="F41" s="18">
        <v>4</v>
      </c>
      <c r="G41" s="19" t="s">
        <v>16</v>
      </c>
      <c r="H41" s="19" t="s">
        <v>220</v>
      </c>
      <c r="I41" s="19">
        <v>42.64</v>
      </c>
      <c r="J41" s="19"/>
      <c r="K41" s="20">
        <v>0</v>
      </c>
      <c r="N41">
        <f t="shared" si="4"/>
        <v>80713</v>
      </c>
      <c r="O41">
        <f>IF(AND(A41&gt;0,A41&lt;999),IFERROR(VLOOKUP(results0140[[#This Row],[Card]],U14M[],1,FALSE),0),0)</f>
        <v>0</v>
      </c>
      <c r="P41">
        <f t="shared" si="5"/>
        <v>999</v>
      </c>
      <c r="Q41" s="5">
        <f t="shared" si="6"/>
        <v>999</v>
      </c>
      <c r="R41" s="5">
        <f t="shared" si="7"/>
        <v>1</v>
      </c>
    </row>
    <row r="42" spans="1:18" x14ac:dyDescent="0.25">
      <c r="A42" s="13">
        <v>999</v>
      </c>
      <c r="B42" s="14">
        <v>78200</v>
      </c>
      <c r="C42" s="14">
        <v>5</v>
      </c>
      <c r="D42" s="15" t="s">
        <v>49</v>
      </c>
      <c r="E42" s="15" t="s">
        <v>31</v>
      </c>
      <c r="F42" s="14">
        <v>5</v>
      </c>
      <c r="G42" s="15" t="s">
        <v>16</v>
      </c>
      <c r="H42" s="15" t="s">
        <v>220</v>
      </c>
      <c r="I42" s="15">
        <v>43.25</v>
      </c>
      <c r="J42" s="15"/>
      <c r="K42" s="16">
        <v>0</v>
      </c>
      <c r="N42">
        <f t="shared" si="4"/>
        <v>78200</v>
      </c>
      <c r="O42">
        <f>IF(AND(A42&gt;0,A42&lt;999),IFERROR(VLOOKUP(results0140[[#This Row],[Card]],U14M[],1,FALSE),0),0)</f>
        <v>0</v>
      </c>
      <c r="P42">
        <f t="shared" si="5"/>
        <v>999</v>
      </c>
      <c r="Q42" s="5">
        <f t="shared" si="6"/>
        <v>999</v>
      </c>
      <c r="R42" s="5">
        <f t="shared" si="7"/>
        <v>2</v>
      </c>
    </row>
    <row r="43" spans="1:18" x14ac:dyDescent="0.25">
      <c r="A43" s="17">
        <v>999</v>
      </c>
      <c r="B43" s="18">
        <v>82431</v>
      </c>
      <c r="C43" s="18">
        <v>8</v>
      </c>
      <c r="D43" s="19" t="s">
        <v>41</v>
      </c>
      <c r="E43" s="19" t="s">
        <v>42</v>
      </c>
      <c r="F43" s="18">
        <v>4</v>
      </c>
      <c r="G43" s="19" t="s">
        <v>16</v>
      </c>
      <c r="H43" s="19" t="s">
        <v>220</v>
      </c>
      <c r="I43" s="19">
        <v>59.43</v>
      </c>
      <c r="J43" s="19"/>
      <c r="K43" s="20">
        <v>0</v>
      </c>
      <c r="N43">
        <f t="shared" si="4"/>
        <v>82431</v>
      </c>
      <c r="O43">
        <f>IF(AND(A43&gt;0,A43&lt;999),IFERROR(VLOOKUP(results0140[[#This Row],[Card]],U14M[],1,FALSE),0),0)</f>
        <v>0</v>
      </c>
      <c r="P43">
        <f t="shared" si="5"/>
        <v>999</v>
      </c>
      <c r="Q43" s="5">
        <f t="shared" si="6"/>
        <v>999</v>
      </c>
      <c r="R43" s="5">
        <f t="shared" si="7"/>
        <v>59</v>
      </c>
    </row>
    <row r="44" spans="1:18" x14ac:dyDescent="0.25">
      <c r="A44" s="13">
        <v>999</v>
      </c>
      <c r="B44" s="14">
        <v>78517</v>
      </c>
      <c r="C44" s="14">
        <v>9</v>
      </c>
      <c r="D44" s="15" t="s">
        <v>14</v>
      </c>
      <c r="E44" s="15" t="s">
        <v>15</v>
      </c>
      <c r="F44" s="14">
        <v>4</v>
      </c>
      <c r="G44" s="15" t="s">
        <v>16</v>
      </c>
      <c r="H44" s="15" t="s">
        <v>220</v>
      </c>
      <c r="I44" s="15" t="s">
        <v>215</v>
      </c>
      <c r="J44" s="15"/>
      <c r="K44" s="16">
        <v>0</v>
      </c>
      <c r="N44">
        <f t="shared" si="4"/>
        <v>78517</v>
      </c>
      <c r="O44">
        <f>IF(AND(A44&gt;0,A44&lt;999),IFERROR(VLOOKUP(results0140[[#This Row],[Card]],U14M[],1,FALSE),0),0)</f>
        <v>0</v>
      </c>
      <c r="P44">
        <f t="shared" si="5"/>
        <v>999</v>
      </c>
      <c r="Q44" s="5">
        <f t="shared" si="6"/>
        <v>999</v>
      </c>
      <c r="R44" s="5">
        <f t="shared" si="7"/>
        <v>999</v>
      </c>
    </row>
    <row r="45" spans="1:18" x14ac:dyDescent="0.25">
      <c r="A45" s="17">
        <v>999</v>
      </c>
      <c r="B45" s="18">
        <v>80717</v>
      </c>
      <c r="C45" s="18">
        <v>11</v>
      </c>
      <c r="D45" s="19" t="s">
        <v>26</v>
      </c>
      <c r="E45" s="19" t="s">
        <v>22</v>
      </c>
      <c r="F45" s="18">
        <v>4</v>
      </c>
      <c r="G45" s="19" t="s">
        <v>16</v>
      </c>
      <c r="H45" s="19" t="s">
        <v>220</v>
      </c>
      <c r="I45" s="19">
        <v>44.77</v>
      </c>
      <c r="J45" s="19"/>
      <c r="K45" s="20">
        <v>0</v>
      </c>
      <c r="N45">
        <f t="shared" si="4"/>
        <v>80717</v>
      </c>
      <c r="O45">
        <f>IF(AND(A45&gt;0,A45&lt;999),IFERROR(VLOOKUP(results0140[[#This Row],[Card]],U14M[],1,FALSE),0),0)</f>
        <v>0</v>
      </c>
      <c r="P45">
        <f t="shared" si="5"/>
        <v>999</v>
      </c>
      <c r="Q45" s="5">
        <f t="shared" si="6"/>
        <v>999</v>
      </c>
      <c r="R45" s="5">
        <f t="shared" si="7"/>
        <v>9</v>
      </c>
    </row>
    <row r="46" spans="1:18" x14ac:dyDescent="0.25">
      <c r="A46" s="13">
        <v>999</v>
      </c>
      <c r="B46" s="14">
        <v>82440</v>
      </c>
      <c r="C46" s="14">
        <v>14</v>
      </c>
      <c r="D46" s="15" t="s">
        <v>56</v>
      </c>
      <c r="E46" s="15" t="s">
        <v>15</v>
      </c>
      <c r="F46" s="14">
        <v>4</v>
      </c>
      <c r="G46" s="15" t="s">
        <v>16</v>
      </c>
      <c r="H46" s="15" t="s">
        <v>220</v>
      </c>
      <c r="I46" s="15">
        <v>43.91</v>
      </c>
      <c r="J46" s="15"/>
      <c r="K46" s="16">
        <v>0</v>
      </c>
      <c r="N46">
        <f t="shared" si="4"/>
        <v>82440</v>
      </c>
      <c r="O46">
        <f>IF(AND(A46&gt;0,A46&lt;999),IFERROR(VLOOKUP(results0140[[#This Row],[Card]],U14M[],1,FALSE),0),0)</f>
        <v>0</v>
      </c>
      <c r="P46">
        <f t="shared" si="5"/>
        <v>999</v>
      </c>
      <c r="Q46" s="5">
        <f t="shared" si="6"/>
        <v>999</v>
      </c>
      <c r="R46" s="5">
        <f t="shared" si="7"/>
        <v>3</v>
      </c>
    </row>
    <row r="47" spans="1:18" x14ac:dyDescent="0.25">
      <c r="A47" s="17">
        <v>999</v>
      </c>
      <c r="B47" s="18">
        <v>80809</v>
      </c>
      <c r="C47" s="18">
        <v>22</v>
      </c>
      <c r="D47" s="19" t="s">
        <v>53</v>
      </c>
      <c r="E47" s="19" t="s">
        <v>54</v>
      </c>
      <c r="F47" s="18">
        <v>4</v>
      </c>
      <c r="G47" s="19" t="s">
        <v>16</v>
      </c>
      <c r="H47" s="19" t="s">
        <v>220</v>
      </c>
      <c r="I47" s="19">
        <v>46.39</v>
      </c>
      <c r="J47" s="19"/>
      <c r="K47" s="20">
        <v>0</v>
      </c>
      <c r="N47">
        <f t="shared" si="4"/>
        <v>80809</v>
      </c>
      <c r="O47">
        <f>IF(AND(A47&gt;0,A47&lt;999),IFERROR(VLOOKUP(results0140[[#This Row],[Card]],U14M[],1,FALSE),0),0)</f>
        <v>0</v>
      </c>
      <c r="P47">
        <f t="shared" si="5"/>
        <v>999</v>
      </c>
      <c r="Q47" s="5">
        <f t="shared" si="6"/>
        <v>999</v>
      </c>
      <c r="R47" s="5">
        <f t="shared" si="7"/>
        <v>17</v>
      </c>
    </row>
    <row r="48" spans="1:18" x14ac:dyDescent="0.25">
      <c r="A48" s="13">
        <v>999</v>
      </c>
      <c r="B48" s="14">
        <v>80824</v>
      </c>
      <c r="C48" s="14">
        <v>26</v>
      </c>
      <c r="D48" s="15" t="s">
        <v>80</v>
      </c>
      <c r="E48" s="15" t="s">
        <v>54</v>
      </c>
      <c r="F48" s="14">
        <v>4</v>
      </c>
      <c r="G48" s="15" t="s">
        <v>16</v>
      </c>
      <c r="H48" s="15" t="s">
        <v>220</v>
      </c>
      <c r="I48" s="15" t="s">
        <v>215</v>
      </c>
      <c r="J48" s="15"/>
      <c r="K48" s="16">
        <v>0</v>
      </c>
      <c r="N48">
        <f t="shared" si="4"/>
        <v>80824</v>
      </c>
      <c r="O48">
        <f>IF(AND(A48&gt;0,A48&lt;999),IFERROR(VLOOKUP(results0140[[#This Row],[Card]],U14M[],1,FALSE),0),0)</f>
        <v>0</v>
      </c>
      <c r="P48">
        <f t="shared" si="5"/>
        <v>999</v>
      </c>
      <c r="Q48" s="5">
        <f t="shared" si="6"/>
        <v>999</v>
      </c>
      <c r="R48" s="5">
        <f t="shared" si="7"/>
        <v>999</v>
      </c>
    </row>
    <row r="49" spans="1:18" x14ac:dyDescent="0.25">
      <c r="A49" s="17">
        <v>999</v>
      </c>
      <c r="B49" s="18">
        <v>81110</v>
      </c>
      <c r="C49" s="18">
        <v>28</v>
      </c>
      <c r="D49" s="19" t="s">
        <v>86</v>
      </c>
      <c r="E49" s="19" t="s">
        <v>22</v>
      </c>
      <c r="F49" s="18">
        <v>5</v>
      </c>
      <c r="G49" s="19" t="s">
        <v>16</v>
      </c>
      <c r="H49" s="19" t="s">
        <v>220</v>
      </c>
      <c r="I49" s="19">
        <v>45.72</v>
      </c>
      <c r="J49" s="19"/>
      <c r="K49" s="20">
        <v>0</v>
      </c>
      <c r="N49">
        <f t="shared" si="4"/>
        <v>81110</v>
      </c>
      <c r="O49">
        <f>IF(AND(A49&gt;0,A49&lt;999),IFERROR(VLOOKUP(results0140[[#This Row],[Card]],U14M[],1,FALSE),0),0)</f>
        <v>0</v>
      </c>
      <c r="P49">
        <f t="shared" si="5"/>
        <v>999</v>
      </c>
      <c r="Q49" s="5">
        <f t="shared" si="6"/>
        <v>999</v>
      </c>
      <c r="R49" s="5">
        <f t="shared" si="7"/>
        <v>14</v>
      </c>
    </row>
    <row r="50" spans="1:18" x14ac:dyDescent="0.25">
      <c r="A50" s="13">
        <v>999</v>
      </c>
      <c r="B50" s="14">
        <v>82186</v>
      </c>
      <c r="C50" s="14">
        <v>32</v>
      </c>
      <c r="D50" s="15" t="s">
        <v>114</v>
      </c>
      <c r="E50" s="15" t="s">
        <v>15</v>
      </c>
      <c r="F50" s="14">
        <v>4</v>
      </c>
      <c r="G50" s="15" t="s">
        <v>16</v>
      </c>
      <c r="H50" s="15" t="s">
        <v>220</v>
      </c>
      <c r="I50" s="15" t="s">
        <v>215</v>
      </c>
      <c r="J50" s="15"/>
      <c r="K50" s="16">
        <v>0</v>
      </c>
      <c r="N50">
        <f t="shared" si="4"/>
        <v>82186</v>
      </c>
      <c r="O50">
        <f>IF(AND(A50&gt;0,A50&lt;999),IFERROR(VLOOKUP(results0140[[#This Row],[Card]],U14M[],1,FALSE),0),0)</f>
        <v>0</v>
      </c>
      <c r="P50">
        <f t="shared" si="5"/>
        <v>999</v>
      </c>
      <c r="Q50" s="5">
        <f t="shared" si="6"/>
        <v>999</v>
      </c>
      <c r="R50" s="5">
        <f t="shared" si="7"/>
        <v>999</v>
      </c>
    </row>
    <row r="51" spans="1:18" x14ac:dyDescent="0.25">
      <c r="A51" s="17">
        <v>999</v>
      </c>
      <c r="B51" s="18">
        <v>85235</v>
      </c>
      <c r="C51" s="18">
        <v>35</v>
      </c>
      <c r="D51" s="19" t="s">
        <v>46</v>
      </c>
      <c r="E51" s="19" t="s">
        <v>47</v>
      </c>
      <c r="F51" s="18">
        <v>4</v>
      </c>
      <c r="G51" s="19" t="s">
        <v>16</v>
      </c>
      <c r="H51" s="19" t="s">
        <v>220</v>
      </c>
      <c r="I51" s="19" t="s">
        <v>215</v>
      </c>
      <c r="J51" s="19"/>
      <c r="K51" s="20">
        <v>0</v>
      </c>
      <c r="N51">
        <f t="shared" si="4"/>
        <v>85235</v>
      </c>
      <c r="O51">
        <f>IF(AND(A51&gt;0,A51&lt;999),IFERROR(VLOOKUP(results0140[[#This Row],[Card]],U14M[],1,FALSE),0),0)</f>
        <v>0</v>
      </c>
      <c r="P51">
        <f t="shared" si="5"/>
        <v>999</v>
      </c>
      <c r="Q51" s="5">
        <f t="shared" si="6"/>
        <v>999</v>
      </c>
      <c r="R51" s="5">
        <f t="shared" si="7"/>
        <v>999</v>
      </c>
    </row>
    <row r="52" spans="1:18" x14ac:dyDescent="0.25">
      <c r="A52" s="13">
        <v>999</v>
      </c>
      <c r="B52" s="14">
        <v>80683</v>
      </c>
      <c r="C52" s="14">
        <v>37</v>
      </c>
      <c r="D52" s="15" t="s">
        <v>67</v>
      </c>
      <c r="E52" s="15" t="s">
        <v>15</v>
      </c>
      <c r="F52" s="14">
        <v>4</v>
      </c>
      <c r="G52" s="15" t="s">
        <v>16</v>
      </c>
      <c r="H52" s="15" t="s">
        <v>220</v>
      </c>
      <c r="I52" s="15">
        <v>54.31</v>
      </c>
      <c r="J52" s="15"/>
      <c r="K52" s="16">
        <v>0</v>
      </c>
      <c r="N52">
        <f t="shared" si="4"/>
        <v>80683</v>
      </c>
      <c r="O52">
        <f>IF(AND(A52&gt;0,A52&lt;999),IFERROR(VLOOKUP(results0140[[#This Row],[Card]],U14M[],1,FALSE),0),0)</f>
        <v>0</v>
      </c>
      <c r="P52">
        <f t="shared" si="5"/>
        <v>999</v>
      </c>
      <c r="Q52" s="5">
        <f t="shared" si="6"/>
        <v>999</v>
      </c>
      <c r="R52" s="5">
        <f t="shared" si="7"/>
        <v>51</v>
      </c>
    </row>
    <row r="53" spans="1:18" x14ac:dyDescent="0.25">
      <c r="A53" s="17">
        <v>999</v>
      </c>
      <c r="B53" s="18">
        <v>82441</v>
      </c>
      <c r="C53" s="18">
        <v>44</v>
      </c>
      <c r="D53" s="19" t="s">
        <v>96</v>
      </c>
      <c r="E53" s="19" t="s">
        <v>15</v>
      </c>
      <c r="F53" s="18">
        <v>4</v>
      </c>
      <c r="G53" s="19" t="s">
        <v>16</v>
      </c>
      <c r="H53" s="19" t="s">
        <v>220</v>
      </c>
      <c r="I53" s="19">
        <v>54.29</v>
      </c>
      <c r="J53" s="19"/>
      <c r="K53" s="20">
        <v>0</v>
      </c>
      <c r="N53">
        <f t="shared" si="4"/>
        <v>82441</v>
      </c>
      <c r="O53">
        <f>IF(AND(A53&gt;0,A53&lt;999),IFERROR(VLOOKUP(results0140[[#This Row],[Card]],U14M[],1,FALSE),0),0)</f>
        <v>0</v>
      </c>
      <c r="P53">
        <f t="shared" si="5"/>
        <v>999</v>
      </c>
      <c r="Q53" s="5">
        <f t="shared" si="6"/>
        <v>999</v>
      </c>
      <c r="R53" s="5">
        <f t="shared" si="7"/>
        <v>50</v>
      </c>
    </row>
    <row r="54" spans="1:18" x14ac:dyDescent="0.25">
      <c r="A54" s="13">
        <v>999</v>
      </c>
      <c r="B54" s="14">
        <v>82314</v>
      </c>
      <c r="C54" s="14">
        <v>45</v>
      </c>
      <c r="D54" s="15" t="s">
        <v>78</v>
      </c>
      <c r="E54" s="15" t="s">
        <v>15</v>
      </c>
      <c r="F54" s="14">
        <v>4</v>
      </c>
      <c r="G54" s="15" t="s">
        <v>16</v>
      </c>
      <c r="H54" s="15" t="s">
        <v>220</v>
      </c>
      <c r="I54" s="15" t="s">
        <v>215</v>
      </c>
      <c r="J54" s="15"/>
      <c r="K54" s="16">
        <v>0</v>
      </c>
      <c r="N54">
        <f t="shared" si="4"/>
        <v>82314</v>
      </c>
      <c r="O54">
        <f>IF(AND(A54&gt;0,A54&lt;999),IFERROR(VLOOKUP(results0140[[#This Row],[Card]],U14M[],1,FALSE),0),0)</f>
        <v>0</v>
      </c>
      <c r="P54">
        <f t="shared" si="5"/>
        <v>999</v>
      </c>
      <c r="Q54" s="5">
        <f t="shared" si="6"/>
        <v>999</v>
      </c>
      <c r="R54" s="5">
        <f t="shared" si="7"/>
        <v>999</v>
      </c>
    </row>
    <row r="55" spans="1:18" x14ac:dyDescent="0.25">
      <c r="A55" s="17">
        <v>999</v>
      </c>
      <c r="B55" s="18">
        <v>82328</v>
      </c>
      <c r="C55" s="18">
        <v>49</v>
      </c>
      <c r="D55" s="19" t="s">
        <v>137</v>
      </c>
      <c r="E55" s="19" t="s">
        <v>15</v>
      </c>
      <c r="F55" s="18">
        <v>4</v>
      </c>
      <c r="G55" s="19" t="s">
        <v>16</v>
      </c>
      <c r="H55" s="19" t="s">
        <v>220</v>
      </c>
      <c r="I55" s="19" t="s">
        <v>215</v>
      </c>
      <c r="J55" s="19"/>
      <c r="K55" s="20">
        <v>0</v>
      </c>
      <c r="N55">
        <f t="shared" si="4"/>
        <v>82328</v>
      </c>
      <c r="O55">
        <f>IF(AND(A55&gt;0,A55&lt;999),IFERROR(VLOOKUP(results0140[[#This Row],[Card]],U14M[],1,FALSE),0),0)</f>
        <v>0</v>
      </c>
      <c r="P55">
        <f t="shared" si="5"/>
        <v>999</v>
      </c>
      <c r="Q55" s="5">
        <f t="shared" si="6"/>
        <v>999</v>
      </c>
      <c r="R55" s="5">
        <f t="shared" si="7"/>
        <v>999</v>
      </c>
    </row>
    <row r="56" spans="1:18" x14ac:dyDescent="0.25">
      <c r="A56" s="13">
        <v>999</v>
      </c>
      <c r="B56" s="14">
        <v>80629</v>
      </c>
      <c r="C56" s="14">
        <v>51</v>
      </c>
      <c r="D56" s="15" t="s">
        <v>144</v>
      </c>
      <c r="E56" s="15" t="s">
        <v>19</v>
      </c>
      <c r="F56" s="14">
        <v>5</v>
      </c>
      <c r="G56" s="15" t="s">
        <v>16</v>
      </c>
      <c r="H56" s="15" t="s">
        <v>220</v>
      </c>
      <c r="I56" s="15">
        <v>49.2</v>
      </c>
      <c r="J56" s="15"/>
      <c r="K56" s="16">
        <v>0</v>
      </c>
      <c r="N56">
        <f t="shared" si="4"/>
        <v>80629</v>
      </c>
      <c r="O56">
        <f>IF(AND(A56&gt;0,A56&lt;999),IFERROR(VLOOKUP(results0140[[#This Row],[Card]],U14M[],1,FALSE),0),0)</f>
        <v>0</v>
      </c>
      <c r="P56">
        <f t="shared" si="5"/>
        <v>999</v>
      </c>
      <c r="Q56" s="5">
        <f t="shared" si="6"/>
        <v>999</v>
      </c>
      <c r="R56" s="5">
        <f t="shared" si="7"/>
        <v>29</v>
      </c>
    </row>
    <row r="57" spans="1:18" x14ac:dyDescent="0.25">
      <c r="A57" s="17">
        <v>999</v>
      </c>
      <c r="B57" s="18">
        <v>81139</v>
      </c>
      <c r="C57" s="18">
        <v>53</v>
      </c>
      <c r="D57" s="19" t="s">
        <v>177</v>
      </c>
      <c r="E57" s="19" t="s">
        <v>22</v>
      </c>
      <c r="F57" s="18">
        <v>4</v>
      </c>
      <c r="G57" s="19" t="s">
        <v>16</v>
      </c>
      <c r="H57" s="19" t="s">
        <v>220</v>
      </c>
      <c r="I57" s="19">
        <v>50.45</v>
      </c>
      <c r="J57" s="19"/>
      <c r="K57" s="20">
        <v>0</v>
      </c>
      <c r="N57">
        <f t="shared" si="4"/>
        <v>81139</v>
      </c>
      <c r="O57">
        <f>IF(AND(A57&gt;0,A57&lt;999),IFERROR(VLOOKUP(results0140[[#This Row],[Card]],U14M[],1,FALSE),0),0)</f>
        <v>0</v>
      </c>
      <c r="P57">
        <f t="shared" si="5"/>
        <v>999</v>
      </c>
      <c r="Q57" s="5">
        <f t="shared" si="6"/>
        <v>999</v>
      </c>
      <c r="R57" s="5">
        <f t="shared" si="7"/>
        <v>36</v>
      </c>
    </row>
    <row r="58" spans="1:18" x14ac:dyDescent="0.25">
      <c r="A58" s="13">
        <v>999</v>
      </c>
      <c r="B58" s="14">
        <v>78669</v>
      </c>
      <c r="C58" s="14">
        <v>59</v>
      </c>
      <c r="D58" s="15" t="s">
        <v>116</v>
      </c>
      <c r="E58" s="15" t="s">
        <v>117</v>
      </c>
      <c r="F58" s="14">
        <v>4</v>
      </c>
      <c r="G58" s="15" t="s">
        <v>16</v>
      </c>
      <c r="H58" s="15" t="s">
        <v>220</v>
      </c>
      <c r="I58" s="15" t="s">
        <v>215</v>
      </c>
      <c r="J58" s="15"/>
      <c r="K58" s="16">
        <v>0</v>
      </c>
      <c r="N58">
        <f t="shared" si="4"/>
        <v>78669</v>
      </c>
      <c r="O58">
        <f>IF(AND(A58&gt;0,A58&lt;999),IFERROR(VLOOKUP(results0140[[#This Row],[Card]],U14M[],1,FALSE),0),0)</f>
        <v>0</v>
      </c>
      <c r="P58">
        <f t="shared" si="5"/>
        <v>999</v>
      </c>
      <c r="Q58" s="5">
        <f t="shared" si="6"/>
        <v>999</v>
      </c>
      <c r="R58" s="5">
        <f t="shared" si="7"/>
        <v>999</v>
      </c>
    </row>
    <row r="59" spans="1:18" x14ac:dyDescent="0.25">
      <c r="A59" s="17">
        <v>999</v>
      </c>
      <c r="B59" s="18">
        <v>76572</v>
      </c>
      <c r="C59" s="18">
        <v>61</v>
      </c>
      <c r="D59" s="19" t="s">
        <v>109</v>
      </c>
      <c r="E59" s="19" t="s">
        <v>38</v>
      </c>
      <c r="F59" s="18">
        <v>4</v>
      </c>
      <c r="G59" s="19" t="s">
        <v>16</v>
      </c>
      <c r="H59" s="19" t="s">
        <v>220</v>
      </c>
      <c r="I59" s="19">
        <v>49.87</v>
      </c>
      <c r="J59" s="19"/>
      <c r="K59" s="20">
        <v>0</v>
      </c>
      <c r="N59">
        <f t="shared" si="4"/>
        <v>76572</v>
      </c>
      <c r="O59">
        <f>IF(AND(A59&gt;0,A59&lt;999),IFERROR(VLOOKUP(results0140[[#This Row],[Card]],U14M[],1,FALSE),0),0)</f>
        <v>0</v>
      </c>
      <c r="P59">
        <f t="shared" si="5"/>
        <v>999</v>
      </c>
      <c r="Q59" s="5">
        <f t="shared" si="6"/>
        <v>999</v>
      </c>
      <c r="R59" s="5">
        <f t="shared" si="7"/>
        <v>35</v>
      </c>
    </row>
    <row r="60" spans="1:18" x14ac:dyDescent="0.25">
      <c r="A60" s="13">
        <v>999</v>
      </c>
      <c r="B60" s="14">
        <v>85448</v>
      </c>
      <c r="C60" s="14">
        <v>63</v>
      </c>
      <c r="D60" s="15" t="s">
        <v>224</v>
      </c>
      <c r="E60" s="15" t="s">
        <v>101</v>
      </c>
      <c r="F60" s="14">
        <v>4</v>
      </c>
      <c r="G60" s="15" t="s">
        <v>16</v>
      </c>
      <c r="H60" s="15" t="s">
        <v>220</v>
      </c>
      <c r="I60" s="15" t="s">
        <v>215</v>
      </c>
      <c r="J60" s="15"/>
      <c r="K60" s="16">
        <v>0</v>
      </c>
      <c r="N60">
        <f t="shared" si="4"/>
        <v>85448</v>
      </c>
      <c r="O60">
        <f>IF(AND(A60&gt;0,A60&lt;999),IFERROR(VLOOKUP(results0140[[#This Row],[Card]],U14M[],1,FALSE),0),0)</f>
        <v>0</v>
      </c>
      <c r="P60">
        <f t="shared" si="5"/>
        <v>999</v>
      </c>
      <c r="Q60" s="5">
        <f t="shared" si="6"/>
        <v>999</v>
      </c>
      <c r="R60" s="5">
        <f t="shared" si="7"/>
        <v>999</v>
      </c>
    </row>
    <row r="61" spans="1:18" x14ac:dyDescent="0.25">
      <c r="A61" s="17">
        <v>999</v>
      </c>
      <c r="B61" s="18">
        <v>85566</v>
      </c>
      <c r="C61" s="18">
        <v>65</v>
      </c>
      <c r="D61" s="19" t="s">
        <v>150</v>
      </c>
      <c r="E61" s="19" t="s">
        <v>117</v>
      </c>
      <c r="F61" s="18">
        <v>5</v>
      </c>
      <c r="G61" s="19" t="s">
        <v>16</v>
      </c>
      <c r="H61" s="19" t="s">
        <v>220</v>
      </c>
      <c r="I61" s="19">
        <v>50.75</v>
      </c>
      <c r="J61" s="19"/>
      <c r="K61" s="20">
        <v>0</v>
      </c>
      <c r="N61">
        <f t="shared" si="4"/>
        <v>85566</v>
      </c>
      <c r="O61">
        <f>IF(AND(A61&gt;0,A61&lt;999),IFERROR(VLOOKUP(results0140[[#This Row],[Card]],U14M[],1,FALSE),0),0)</f>
        <v>0</v>
      </c>
      <c r="P61">
        <f t="shared" si="5"/>
        <v>999</v>
      </c>
      <c r="Q61" s="5">
        <f t="shared" si="6"/>
        <v>999</v>
      </c>
      <c r="R61" s="5">
        <f t="shared" si="7"/>
        <v>38</v>
      </c>
    </row>
    <row r="62" spans="1:18" x14ac:dyDescent="0.25">
      <c r="A62" s="13">
        <v>999</v>
      </c>
      <c r="B62" s="14">
        <v>82224</v>
      </c>
      <c r="C62" s="14">
        <v>67</v>
      </c>
      <c r="D62" s="15" t="s">
        <v>190</v>
      </c>
      <c r="E62" s="15" t="s">
        <v>101</v>
      </c>
      <c r="F62" s="14">
        <v>4</v>
      </c>
      <c r="G62" s="15" t="s">
        <v>16</v>
      </c>
      <c r="H62" s="15" t="s">
        <v>220</v>
      </c>
      <c r="I62" s="15" t="s">
        <v>215</v>
      </c>
      <c r="J62" s="15"/>
      <c r="K62" s="16">
        <v>0</v>
      </c>
      <c r="N62">
        <f t="shared" si="4"/>
        <v>82224</v>
      </c>
      <c r="O62">
        <f>IF(AND(A62&gt;0,A62&lt;999),IFERROR(VLOOKUP(results0140[[#This Row],[Card]],U14M[],1,FALSE),0),0)</f>
        <v>0</v>
      </c>
      <c r="P62">
        <f t="shared" si="5"/>
        <v>999</v>
      </c>
      <c r="Q62" s="5">
        <f t="shared" si="6"/>
        <v>999</v>
      </c>
      <c r="R62" s="5">
        <f t="shared" si="7"/>
        <v>999</v>
      </c>
    </row>
    <row r="63" spans="1:18" x14ac:dyDescent="0.25">
      <c r="A63" s="17">
        <v>999</v>
      </c>
      <c r="B63" s="18">
        <v>78398</v>
      </c>
      <c r="C63" s="18">
        <v>69</v>
      </c>
      <c r="D63" s="19" t="s">
        <v>156</v>
      </c>
      <c r="E63" s="19" t="s">
        <v>19</v>
      </c>
      <c r="F63" s="18">
        <v>4</v>
      </c>
      <c r="G63" s="19" t="s">
        <v>16</v>
      </c>
      <c r="H63" s="19" t="s">
        <v>220</v>
      </c>
      <c r="I63" s="19">
        <v>49.58</v>
      </c>
      <c r="J63" s="19"/>
      <c r="K63" s="20">
        <v>0</v>
      </c>
      <c r="N63">
        <f t="shared" si="4"/>
        <v>78398</v>
      </c>
      <c r="O63">
        <f>IF(AND(A63&gt;0,A63&lt;999),IFERROR(VLOOKUP(results0140[[#This Row],[Card]],U14M[],1,FALSE),0),0)</f>
        <v>0</v>
      </c>
      <c r="P63">
        <f t="shared" si="5"/>
        <v>999</v>
      </c>
      <c r="Q63" s="5">
        <f t="shared" si="6"/>
        <v>999</v>
      </c>
      <c r="R63" s="5">
        <f t="shared" si="7"/>
        <v>32</v>
      </c>
    </row>
    <row r="64" spans="1:18" x14ac:dyDescent="0.25">
      <c r="A64" s="13">
        <v>999</v>
      </c>
      <c r="B64" s="14">
        <v>85454</v>
      </c>
      <c r="C64" s="14">
        <v>73</v>
      </c>
      <c r="D64" s="15" t="s">
        <v>218</v>
      </c>
      <c r="E64" s="15" t="s">
        <v>54</v>
      </c>
      <c r="F64" s="14">
        <v>5</v>
      </c>
      <c r="G64" s="15" t="s">
        <v>16</v>
      </c>
      <c r="H64" s="15" t="s">
        <v>220</v>
      </c>
      <c r="I64" s="15" t="s">
        <v>215</v>
      </c>
      <c r="J64" s="15"/>
      <c r="K64" s="16">
        <v>0</v>
      </c>
      <c r="N64">
        <f t="shared" si="4"/>
        <v>85454</v>
      </c>
      <c r="O64">
        <f>IF(AND(A64&gt;0,A64&lt;999),IFERROR(VLOOKUP(results0140[[#This Row],[Card]],U14M[],1,FALSE),0),0)</f>
        <v>0</v>
      </c>
      <c r="P64">
        <f t="shared" si="5"/>
        <v>999</v>
      </c>
      <c r="Q64" s="5">
        <f t="shared" si="6"/>
        <v>999</v>
      </c>
      <c r="R64" s="5">
        <f t="shared" si="7"/>
        <v>999</v>
      </c>
    </row>
    <row r="65" spans="1:18" x14ac:dyDescent="0.25">
      <c r="A65" s="17">
        <v>999</v>
      </c>
      <c r="B65" s="18">
        <v>76864</v>
      </c>
      <c r="C65" s="18">
        <v>74</v>
      </c>
      <c r="D65" s="19" t="s">
        <v>107</v>
      </c>
      <c r="E65" s="19" t="s">
        <v>38</v>
      </c>
      <c r="F65" s="18">
        <v>4</v>
      </c>
      <c r="G65" s="19" t="s">
        <v>16</v>
      </c>
      <c r="H65" s="19" t="s">
        <v>220</v>
      </c>
      <c r="I65" s="19">
        <v>49.76</v>
      </c>
      <c r="J65" s="19"/>
      <c r="K65" s="20">
        <v>0</v>
      </c>
      <c r="N65">
        <f t="shared" si="4"/>
        <v>76864</v>
      </c>
      <c r="O65">
        <f>IF(AND(A65&gt;0,A65&lt;999),IFERROR(VLOOKUP(results0140[[#This Row],[Card]],U14M[],1,FALSE),0),0)</f>
        <v>0</v>
      </c>
      <c r="P65">
        <f t="shared" si="5"/>
        <v>999</v>
      </c>
      <c r="Q65" s="5">
        <f t="shared" si="6"/>
        <v>999</v>
      </c>
      <c r="R65" s="5">
        <f t="shared" si="7"/>
        <v>33</v>
      </c>
    </row>
    <row r="66" spans="1:18" x14ac:dyDescent="0.25">
      <c r="A66" s="13">
        <v>999</v>
      </c>
      <c r="B66" s="14">
        <v>81705</v>
      </c>
      <c r="C66" s="14">
        <v>76</v>
      </c>
      <c r="D66" s="15" t="s">
        <v>165</v>
      </c>
      <c r="E66" s="15" t="s">
        <v>31</v>
      </c>
      <c r="F66" s="14">
        <v>4</v>
      </c>
      <c r="G66" s="15" t="s">
        <v>16</v>
      </c>
      <c r="H66" s="15" t="s">
        <v>220</v>
      </c>
      <c r="I66" s="15">
        <v>48.11</v>
      </c>
      <c r="J66" s="15"/>
      <c r="K66" s="16">
        <v>0</v>
      </c>
      <c r="N66">
        <f t="shared" ref="N66:N97" si="8">B66</f>
        <v>81705</v>
      </c>
      <c r="O66">
        <f>IF(AND(A66&gt;0,A66&lt;999),IFERROR(VLOOKUP(results0140[[#This Row],[Card]],U14M[],1,FALSE),0),0)</f>
        <v>0</v>
      </c>
      <c r="P66">
        <f t="shared" ref="P66:P97" si="9">A66</f>
        <v>999</v>
      </c>
      <c r="Q66" s="5">
        <f t="shared" ref="Q66:Q97" si="10">IFERROR(_xlfn.RANK.EQ(H66,$H$2:$H$117,1),999)</f>
        <v>999</v>
      </c>
      <c r="R66" s="5">
        <f t="shared" ref="R66:R97" si="11">IFERROR(_xlfn.RANK.EQ(I66,$I$2:$I$117,1),999)</f>
        <v>26</v>
      </c>
    </row>
    <row r="67" spans="1:18" x14ac:dyDescent="0.25">
      <c r="A67" s="17">
        <v>999</v>
      </c>
      <c r="B67" s="18">
        <v>84868</v>
      </c>
      <c r="C67" s="18">
        <v>79</v>
      </c>
      <c r="D67" s="19" t="s">
        <v>312</v>
      </c>
      <c r="E67" s="19" t="s">
        <v>54</v>
      </c>
      <c r="F67" s="18">
        <v>5</v>
      </c>
      <c r="G67" s="19" t="s">
        <v>16</v>
      </c>
      <c r="H67" s="19" t="s">
        <v>220</v>
      </c>
      <c r="I67" s="19" t="s">
        <v>215</v>
      </c>
      <c r="J67" s="19"/>
      <c r="K67" s="20">
        <v>0</v>
      </c>
      <c r="N67">
        <f t="shared" si="8"/>
        <v>84868</v>
      </c>
      <c r="O67">
        <f>IF(AND(A67&gt;0,A67&lt;999),IFERROR(VLOOKUP(results0140[[#This Row],[Card]],U14M[],1,FALSE),0),0)</f>
        <v>0</v>
      </c>
      <c r="P67">
        <f t="shared" si="9"/>
        <v>999</v>
      </c>
      <c r="Q67" s="5">
        <f t="shared" si="10"/>
        <v>999</v>
      </c>
      <c r="R67" s="5">
        <f t="shared" si="11"/>
        <v>999</v>
      </c>
    </row>
    <row r="68" spans="1:18" x14ac:dyDescent="0.25">
      <c r="A68" s="13">
        <v>999</v>
      </c>
      <c r="B68" s="14">
        <v>80627</v>
      </c>
      <c r="C68" s="14">
        <v>84</v>
      </c>
      <c r="D68" s="15" t="s">
        <v>222</v>
      </c>
      <c r="E68" s="15" t="s">
        <v>19</v>
      </c>
      <c r="F68" s="14">
        <v>5</v>
      </c>
      <c r="G68" s="15" t="s">
        <v>16</v>
      </c>
      <c r="H68" s="15" t="s">
        <v>220</v>
      </c>
      <c r="I68" s="15" t="s">
        <v>215</v>
      </c>
      <c r="J68" s="15"/>
      <c r="K68" s="16">
        <v>0</v>
      </c>
      <c r="N68">
        <f t="shared" si="8"/>
        <v>80627</v>
      </c>
      <c r="O68">
        <f>IF(AND(A68&gt;0,A68&lt;999),IFERROR(VLOOKUP(results0140[[#This Row],[Card]],U14M[],1,FALSE),0),0)</f>
        <v>0</v>
      </c>
      <c r="P68">
        <f t="shared" si="9"/>
        <v>999</v>
      </c>
      <c r="Q68" s="5">
        <f t="shared" si="10"/>
        <v>999</v>
      </c>
      <c r="R68" s="5">
        <f t="shared" si="11"/>
        <v>999</v>
      </c>
    </row>
    <row r="69" spans="1:18" x14ac:dyDescent="0.25">
      <c r="A69" s="17">
        <v>999</v>
      </c>
      <c r="B69" s="18">
        <v>84692</v>
      </c>
      <c r="C69" s="18">
        <v>85</v>
      </c>
      <c r="D69" s="19" t="s">
        <v>173</v>
      </c>
      <c r="E69" s="19" t="s">
        <v>22</v>
      </c>
      <c r="F69" s="18">
        <v>4</v>
      </c>
      <c r="G69" s="19" t="s">
        <v>16</v>
      </c>
      <c r="H69" s="19" t="s">
        <v>220</v>
      </c>
      <c r="I69" s="19" t="s">
        <v>215</v>
      </c>
      <c r="J69" s="19"/>
      <c r="K69" s="20">
        <v>0</v>
      </c>
      <c r="N69">
        <f t="shared" si="8"/>
        <v>84692</v>
      </c>
      <c r="O69">
        <f>IF(AND(A69&gt;0,A69&lt;999),IFERROR(VLOOKUP(results0140[[#This Row],[Card]],U14M[],1,FALSE),0),0)</f>
        <v>0</v>
      </c>
      <c r="P69">
        <f t="shared" si="9"/>
        <v>999</v>
      </c>
      <c r="Q69" s="5">
        <f t="shared" si="10"/>
        <v>999</v>
      </c>
      <c r="R69" s="5">
        <f t="shared" si="11"/>
        <v>999</v>
      </c>
    </row>
    <row r="70" spans="1:18" x14ac:dyDescent="0.25">
      <c r="A70" s="13">
        <v>999</v>
      </c>
      <c r="B70" s="14">
        <v>81736</v>
      </c>
      <c r="C70" s="14">
        <v>96</v>
      </c>
      <c r="D70" s="15" t="s">
        <v>184</v>
      </c>
      <c r="E70" s="15" t="s">
        <v>31</v>
      </c>
      <c r="F70" s="14">
        <v>4</v>
      </c>
      <c r="G70" s="15" t="s">
        <v>16</v>
      </c>
      <c r="H70" s="15" t="s">
        <v>220</v>
      </c>
      <c r="I70" s="15">
        <v>56.74</v>
      </c>
      <c r="J70" s="15"/>
      <c r="K70" s="16">
        <v>0</v>
      </c>
      <c r="N70">
        <f t="shared" si="8"/>
        <v>81736</v>
      </c>
      <c r="O70">
        <f>IF(AND(A70&gt;0,A70&lt;999),IFERROR(VLOOKUP(results0140[[#This Row],[Card]],U14M[],1,FALSE),0),0)</f>
        <v>0</v>
      </c>
      <c r="P70">
        <f t="shared" si="9"/>
        <v>999</v>
      </c>
      <c r="Q70" s="5">
        <f t="shared" si="10"/>
        <v>999</v>
      </c>
      <c r="R70" s="5">
        <f t="shared" si="11"/>
        <v>55</v>
      </c>
    </row>
    <row r="71" spans="1:18" x14ac:dyDescent="0.25">
      <c r="A71" s="17">
        <v>999</v>
      </c>
      <c r="B71" s="18">
        <v>80830</v>
      </c>
      <c r="C71" s="18">
        <v>97</v>
      </c>
      <c r="D71" s="19" t="s">
        <v>217</v>
      </c>
      <c r="E71" s="19" t="s">
        <v>54</v>
      </c>
      <c r="F71" s="18">
        <v>5</v>
      </c>
      <c r="G71" s="19" t="s">
        <v>16</v>
      </c>
      <c r="H71" s="19" t="s">
        <v>220</v>
      </c>
      <c r="I71" s="19">
        <v>52.75</v>
      </c>
      <c r="J71" s="19"/>
      <c r="K71" s="20">
        <v>0</v>
      </c>
      <c r="N71">
        <f t="shared" si="8"/>
        <v>80830</v>
      </c>
      <c r="O71">
        <f>IF(AND(A71&gt;0,A71&lt;999),IFERROR(VLOOKUP(results0140[[#This Row],[Card]],U14M[],1,FALSE),0),0)</f>
        <v>0</v>
      </c>
      <c r="P71">
        <f t="shared" si="9"/>
        <v>999</v>
      </c>
      <c r="Q71" s="5">
        <f t="shared" si="10"/>
        <v>999</v>
      </c>
      <c r="R71" s="5">
        <f t="shared" si="11"/>
        <v>47</v>
      </c>
    </row>
    <row r="72" spans="1:18" x14ac:dyDescent="0.25">
      <c r="A72" s="13">
        <v>999</v>
      </c>
      <c r="B72" s="14">
        <v>86207</v>
      </c>
      <c r="C72" s="14">
        <v>98</v>
      </c>
      <c r="D72" s="15" t="s">
        <v>294</v>
      </c>
      <c r="E72" s="15" t="s">
        <v>54</v>
      </c>
      <c r="F72" s="14">
        <v>5</v>
      </c>
      <c r="G72" s="15" t="s">
        <v>16</v>
      </c>
      <c r="H72" s="15" t="s">
        <v>220</v>
      </c>
      <c r="I72" s="15">
        <v>51.84</v>
      </c>
      <c r="J72" s="15"/>
      <c r="K72" s="16">
        <v>0</v>
      </c>
      <c r="N72">
        <f t="shared" si="8"/>
        <v>86207</v>
      </c>
      <c r="O72">
        <f>IF(AND(A72&gt;0,A72&lt;999),IFERROR(VLOOKUP(results0140[[#This Row],[Card]],U14M[],1,FALSE),0),0)</f>
        <v>0</v>
      </c>
      <c r="P72">
        <f t="shared" si="9"/>
        <v>999</v>
      </c>
      <c r="Q72" s="5">
        <f t="shared" si="10"/>
        <v>999</v>
      </c>
      <c r="R72" s="5">
        <f t="shared" si="11"/>
        <v>42</v>
      </c>
    </row>
    <row r="73" spans="1:18" x14ac:dyDescent="0.25">
      <c r="A73" s="17">
        <v>999</v>
      </c>
      <c r="B73" s="18">
        <v>80807</v>
      </c>
      <c r="C73" s="18">
        <v>99</v>
      </c>
      <c r="D73" s="19" t="s">
        <v>298</v>
      </c>
      <c r="E73" s="19" t="s">
        <v>54</v>
      </c>
      <c r="F73" s="18">
        <v>5</v>
      </c>
      <c r="G73" s="19" t="s">
        <v>16</v>
      </c>
      <c r="H73" s="19" t="s">
        <v>220</v>
      </c>
      <c r="I73" s="19" t="s">
        <v>215</v>
      </c>
      <c r="J73" s="19"/>
      <c r="K73" s="20">
        <v>0</v>
      </c>
      <c r="N73">
        <f t="shared" si="8"/>
        <v>80807</v>
      </c>
      <c r="O73">
        <f>IF(AND(A73&gt;0,A73&lt;999),IFERROR(VLOOKUP(results0140[[#This Row],[Card]],U14M[],1,FALSE),0),0)</f>
        <v>0</v>
      </c>
      <c r="P73">
        <f t="shared" si="9"/>
        <v>999</v>
      </c>
      <c r="Q73" s="5">
        <f t="shared" si="10"/>
        <v>999</v>
      </c>
      <c r="R73" s="5">
        <f t="shared" si="11"/>
        <v>999</v>
      </c>
    </row>
    <row r="74" spans="1:18" x14ac:dyDescent="0.25">
      <c r="A74" s="13">
        <v>999</v>
      </c>
      <c r="B74" s="14">
        <v>81459</v>
      </c>
      <c r="C74" s="14">
        <v>112</v>
      </c>
      <c r="D74" s="15" t="s">
        <v>225</v>
      </c>
      <c r="E74" s="15" t="s">
        <v>101</v>
      </c>
      <c r="F74" s="14">
        <v>5</v>
      </c>
      <c r="G74" s="15" t="s">
        <v>16</v>
      </c>
      <c r="H74" s="15" t="s">
        <v>220</v>
      </c>
      <c r="I74" s="15" t="s">
        <v>215</v>
      </c>
      <c r="J74" s="15"/>
      <c r="K74" s="16">
        <v>0</v>
      </c>
      <c r="N74">
        <f t="shared" si="8"/>
        <v>81459</v>
      </c>
      <c r="O74">
        <f>IF(AND(A74&gt;0,A74&lt;999),IFERROR(VLOOKUP(results0140[[#This Row],[Card]],U14M[],1,FALSE),0),0)</f>
        <v>0</v>
      </c>
      <c r="P74">
        <f t="shared" si="9"/>
        <v>999</v>
      </c>
      <c r="Q74" s="5">
        <f t="shared" si="10"/>
        <v>999</v>
      </c>
      <c r="R74" s="5">
        <f t="shared" si="11"/>
        <v>999</v>
      </c>
    </row>
    <row r="75" spans="1:18" x14ac:dyDescent="0.25">
      <c r="A75" s="17">
        <v>999</v>
      </c>
      <c r="B75" s="18">
        <v>81455</v>
      </c>
      <c r="C75" s="18">
        <v>113</v>
      </c>
      <c r="D75" s="19" t="s">
        <v>171</v>
      </c>
      <c r="E75" s="19" t="s">
        <v>19</v>
      </c>
      <c r="F75" s="18">
        <v>5</v>
      </c>
      <c r="G75" s="19" t="s">
        <v>16</v>
      </c>
      <c r="H75" s="19" t="s">
        <v>220</v>
      </c>
      <c r="I75" s="19">
        <v>48.05</v>
      </c>
      <c r="J75" s="19"/>
      <c r="K75" s="20">
        <v>0</v>
      </c>
      <c r="N75">
        <f t="shared" si="8"/>
        <v>81455</v>
      </c>
      <c r="O75">
        <f>IF(AND(A75&gt;0,A75&lt;999),IFERROR(VLOOKUP(results0140[[#This Row],[Card]],U14M[],1,FALSE),0),0)</f>
        <v>0</v>
      </c>
      <c r="P75">
        <f t="shared" si="9"/>
        <v>999</v>
      </c>
      <c r="Q75" s="5">
        <f t="shared" si="10"/>
        <v>999</v>
      </c>
      <c r="R75" s="5">
        <f t="shared" si="11"/>
        <v>25</v>
      </c>
    </row>
    <row r="76" spans="1:18" x14ac:dyDescent="0.25">
      <c r="A76" s="13">
        <v>999</v>
      </c>
      <c r="B76" s="14">
        <v>81073</v>
      </c>
      <c r="C76" s="14">
        <v>6</v>
      </c>
      <c r="D76" s="15" t="s">
        <v>40</v>
      </c>
      <c r="E76" s="15" t="s">
        <v>15</v>
      </c>
      <c r="F76" s="14">
        <v>4</v>
      </c>
      <c r="G76" s="15" t="s">
        <v>16</v>
      </c>
      <c r="H76" s="15" t="s">
        <v>378</v>
      </c>
      <c r="I76" s="15">
        <v>50.47</v>
      </c>
      <c r="J76" s="15"/>
      <c r="K76" s="16">
        <v>0</v>
      </c>
      <c r="N76">
        <f t="shared" si="8"/>
        <v>81073</v>
      </c>
      <c r="O76">
        <f>IF(AND(A76&gt;0,A76&lt;999),IFERROR(VLOOKUP(results0140[[#This Row],[Card]],U14M[],1,FALSE),0),0)</f>
        <v>0</v>
      </c>
      <c r="P76">
        <f t="shared" si="9"/>
        <v>999</v>
      </c>
      <c r="Q76" s="5">
        <f t="shared" si="10"/>
        <v>999</v>
      </c>
      <c r="R76" s="5">
        <f t="shared" si="11"/>
        <v>37</v>
      </c>
    </row>
    <row r="77" spans="1:18" x14ac:dyDescent="0.25">
      <c r="A77" s="17">
        <v>999</v>
      </c>
      <c r="B77" s="18">
        <v>81322</v>
      </c>
      <c r="C77" s="18">
        <v>24</v>
      </c>
      <c r="D77" s="19" t="s">
        <v>72</v>
      </c>
      <c r="E77" s="19" t="s">
        <v>22</v>
      </c>
      <c r="F77" s="18">
        <v>4</v>
      </c>
      <c r="G77" s="19" t="s">
        <v>16</v>
      </c>
      <c r="H77" s="19" t="s">
        <v>379</v>
      </c>
      <c r="I77" s="19" t="s">
        <v>215</v>
      </c>
      <c r="J77" s="19"/>
      <c r="K77" s="20">
        <v>0</v>
      </c>
      <c r="N77">
        <f t="shared" si="8"/>
        <v>81322</v>
      </c>
      <c r="O77">
        <f>IF(AND(A77&gt;0,A77&lt;999),IFERROR(VLOOKUP(results0140[[#This Row],[Card]],U14M[],1,FALSE),0),0)</f>
        <v>0</v>
      </c>
      <c r="P77">
        <f t="shared" si="9"/>
        <v>999</v>
      </c>
      <c r="Q77" s="5">
        <f t="shared" si="10"/>
        <v>999</v>
      </c>
      <c r="R77" s="5">
        <f t="shared" si="11"/>
        <v>999</v>
      </c>
    </row>
    <row r="78" spans="1:18" x14ac:dyDescent="0.25">
      <c r="A78" s="13">
        <v>999</v>
      </c>
      <c r="B78" s="14">
        <v>80618</v>
      </c>
      <c r="C78" s="14">
        <v>75</v>
      </c>
      <c r="D78" s="15" t="s">
        <v>123</v>
      </c>
      <c r="E78" s="15" t="s">
        <v>19</v>
      </c>
      <c r="F78" s="14">
        <v>4</v>
      </c>
      <c r="G78" s="15" t="s">
        <v>16</v>
      </c>
      <c r="H78" s="15" t="s">
        <v>378</v>
      </c>
      <c r="I78" s="15" t="s">
        <v>215</v>
      </c>
      <c r="J78" s="15"/>
      <c r="K78" s="16">
        <v>0</v>
      </c>
      <c r="N78">
        <f t="shared" si="8"/>
        <v>80618</v>
      </c>
      <c r="O78">
        <f>IF(AND(A78&gt;0,A78&lt;999),IFERROR(VLOOKUP(results0140[[#This Row],[Card]],U14M[],1,FALSE),0),0)</f>
        <v>0</v>
      </c>
      <c r="P78">
        <f t="shared" si="9"/>
        <v>999</v>
      </c>
      <c r="Q78" s="5">
        <f t="shared" si="10"/>
        <v>999</v>
      </c>
      <c r="R78" s="5">
        <f t="shared" si="11"/>
        <v>999</v>
      </c>
    </row>
    <row r="79" spans="1:18" x14ac:dyDescent="0.25">
      <c r="A79" s="17">
        <v>999</v>
      </c>
      <c r="B79" s="18">
        <v>87999</v>
      </c>
      <c r="C79" s="18">
        <v>82</v>
      </c>
      <c r="D79" s="19" t="s">
        <v>179</v>
      </c>
      <c r="E79" s="19" t="s">
        <v>19</v>
      </c>
      <c r="F79" s="18">
        <v>5</v>
      </c>
      <c r="G79" s="19" t="s">
        <v>16</v>
      </c>
      <c r="H79" s="19" t="s">
        <v>380</v>
      </c>
      <c r="I79" s="19">
        <v>51.95</v>
      </c>
      <c r="J79" s="19"/>
      <c r="K79" s="20">
        <v>0</v>
      </c>
      <c r="N79">
        <f t="shared" si="8"/>
        <v>87999</v>
      </c>
      <c r="O79">
        <f>IF(AND(A79&gt;0,A79&lt;999),IFERROR(VLOOKUP(results0140[[#This Row],[Card]],U14M[],1,FALSE),0),0)</f>
        <v>0</v>
      </c>
      <c r="P79">
        <f t="shared" si="9"/>
        <v>999</v>
      </c>
      <c r="Q79" s="5">
        <f t="shared" si="10"/>
        <v>999</v>
      </c>
      <c r="R79" s="5">
        <f t="shared" si="11"/>
        <v>44</v>
      </c>
    </row>
    <row r="80" spans="1:18" x14ac:dyDescent="0.25">
      <c r="A80" s="13">
        <v>999</v>
      </c>
      <c r="B80" s="14">
        <v>78414</v>
      </c>
      <c r="C80" s="14">
        <v>93</v>
      </c>
      <c r="D80" s="15" t="s">
        <v>202</v>
      </c>
      <c r="E80" s="15" t="s">
        <v>155</v>
      </c>
      <c r="F80" s="14">
        <v>4</v>
      </c>
      <c r="G80" s="15" t="s">
        <v>16</v>
      </c>
      <c r="H80" s="15" t="s">
        <v>381</v>
      </c>
      <c r="I80" s="15">
        <v>58.33</v>
      </c>
      <c r="J80" s="15"/>
      <c r="K80" s="16">
        <v>0</v>
      </c>
      <c r="N80">
        <f t="shared" si="8"/>
        <v>78414</v>
      </c>
      <c r="O80">
        <f>IF(AND(A80&gt;0,A80&lt;999),IFERROR(VLOOKUP(results0140[[#This Row],[Card]],U14M[],1,FALSE),0),0)</f>
        <v>0</v>
      </c>
      <c r="P80">
        <f t="shared" si="9"/>
        <v>999</v>
      </c>
      <c r="Q80" s="5">
        <f t="shared" si="10"/>
        <v>999</v>
      </c>
      <c r="R80" s="5">
        <f t="shared" si="11"/>
        <v>57</v>
      </c>
    </row>
    <row r="81" spans="1:18" x14ac:dyDescent="0.25">
      <c r="A81" s="17">
        <v>999</v>
      </c>
      <c r="B81" s="18">
        <v>78783</v>
      </c>
      <c r="C81" s="18">
        <v>111</v>
      </c>
      <c r="D81" s="19" t="s">
        <v>198</v>
      </c>
      <c r="E81" s="19" t="s">
        <v>47</v>
      </c>
      <c r="F81" s="18">
        <v>5</v>
      </c>
      <c r="G81" s="19" t="s">
        <v>16</v>
      </c>
      <c r="H81" s="19" t="s">
        <v>382</v>
      </c>
      <c r="I81" s="19" t="s">
        <v>215</v>
      </c>
      <c r="J81" s="19"/>
      <c r="K81" s="20">
        <v>0</v>
      </c>
      <c r="N81">
        <f t="shared" si="8"/>
        <v>78783</v>
      </c>
      <c r="O81">
        <f>IF(AND(A81&gt;0,A81&lt;999),IFERROR(VLOOKUP(results0140[[#This Row],[Card]],U14M[],1,FALSE),0),0)</f>
        <v>0</v>
      </c>
      <c r="P81">
        <f t="shared" si="9"/>
        <v>999</v>
      </c>
      <c r="Q81" s="5">
        <f t="shared" si="10"/>
        <v>999</v>
      </c>
      <c r="R81" s="5">
        <f t="shared" si="11"/>
        <v>999</v>
      </c>
    </row>
    <row r="82" spans="1:18" x14ac:dyDescent="0.25">
      <c r="A82" s="13">
        <v>999</v>
      </c>
      <c r="B82" s="14">
        <v>80698</v>
      </c>
      <c r="C82" s="14">
        <v>2</v>
      </c>
      <c r="D82" s="15" t="s">
        <v>30</v>
      </c>
      <c r="E82" s="15" t="s">
        <v>31</v>
      </c>
      <c r="F82" s="14">
        <v>4</v>
      </c>
      <c r="G82" s="15" t="s">
        <v>16</v>
      </c>
      <c r="H82" s="15">
        <v>45.65</v>
      </c>
      <c r="I82" s="15" t="s">
        <v>220</v>
      </c>
      <c r="J82" s="15"/>
      <c r="K82" s="16">
        <v>0</v>
      </c>
      <c r="N82">
        <f t="shared" si="8"/>
        <v>80698</v>
      </c>
      <c r="O82">
        <f>IF(AND(A82&gt;0,A82&lt;999),IFERROR(VLOOKUP(results0140[[#This Row],[Card]],U14M[],1,FALSE),0),0)</f>
        <v>0</v>
      </c>
      <c r="P82">
        <f t="shared" si="9"/>
        <v>999</v>
      </c>
      <c r="Q82" s="5">
        <f t="shared" si="10"/>
        <v>27</v>
      </c>
      <c r="R82" s="5">
        <f t="shared" si="11"/>
        <v>999</v>
      </c>
    </row>
    <row r="83" spans="1:18" x14ac:dyDescent="0.25">
      <c r="A83" s="17">
        <v>999</v>
      </c>
      <c r="B83" s="18">
        <v>80709</v>
      </c>
      <c r="C83" s="18">
        <v>4</v>
      </c>
      <c r="D83" s="19" t="s">
        <v>24</v>
      </c>
      <c r="E83" s="19" t="s">
        <v>22</v>
      </c>
      <c r="F83" s="18">
        <v>5</v>
      </c>
      <c r="G83" s="19" t="s">
        <v>16</v>
      </c>
      <c r="H83" s="19">
        <v>47.74</v>
      </c>
      <c r="I83" s="19" t="s">
        <v>220</v>
      </c>
      <c r="J83" s="19"/>
      <c r="K83" s="20">
        <v>0</v>
      </c>
      <c r="N83">
        <f t="shared" si="8"/>
        <v>80709</v>
      </c>
      <c r="O83">
        <f>IF(AND(A83&gt;0,A83&lt;999),IFERROR(VLOOKUP(results0140[[#This Row],[Card]],U14M[],1,FALSE),0),0)</f>
        <v>0</v>
      </c>
      <c r="P83">
        <f t="shared" si="9"/>
        <v>999</v>
      </c>
      <c r="Q83" s="5">
        <f t="shared" si="10"/>
        <v>41</v>
      </c>
      <c r="R83" s="5">
        <f t="shared" si="11"/>
        <v>999</v>
      </c>
    </row>
    <row r="84" spans="1:18" x14ac:dyDescent="0.25">
      <c r="A84" s="13">
        <v>999</v>
      </c>
      <c r="B84" s="14">
        <v>82143</v>
      </c>
      <c r="C84" s="14">
        <v>10</v>
      </c>
      <c r="D84" s="15" t="s">
        <v>111</v>
      </c>
      <c r="E84" s="15" t="s">
        <v>112</v>
      </c>
      <c r="F84" s="14">
        <v>5</v>
      </c>
      <c r="G84" s="15" t="s">
        <v>16</v>
      </c>
      <c r="H84" s="15">
        <v>60.66</v>
      </c>
      <c r="I84" s="15" t="s">
        <v>220</v>
      </c>
      <c r="J84" s="15"/>
      <c r="K84" s="16">
        <v>0</v>
      </c>
      <c r="N84">
        <f t="shared" si="8"/>
        <v>82143</v>
      </c>
      <c r="O84">
        <f>IF(AND(A84&gt;0,A84&lt;999),IFERROR(VLOOKUP(results0140[[#This Row],[Card]],U14M[],1,FALSE),0),0)</f>
        <v>0</v>
      </c>
      <c r="P84">
        <f t="shared" si="9"/>
        <v>999</v>
      </c>
      <c r="Q84" s="5">
        <f t="shared" si="10"/>
        <v>72</v>
      </c>
      <c r="R84" s="5">
        <f t="shared" si="11"/>
        <v>999</v>
      </c>
    </row>
    <row r="85" spans="1:18" x14ac:dyDescent="0.25">
      <c r="A85" s="17">
        <v>999</v>
      </c>
      <c r="B85" s="18">
        <v>80715</v>
      </c>
      <c r="C85" s="18">
        <v>16</v>
      </c>
      <c r="D85" s="19" t="s">
        <v>65</v>
      </c>
      <c r="E85" s="19" t="s">
        <v>22</v>
      </c>
      <c r="F85" s="18">
        <v>4</v>
      </c>
      <c r="G85" s="19" t="s">
        <v>16</v>
      </c>
      <c r="H85" s="19">
        <v>43.07</v>
      </c>
      <c r="I85" s="19" t="s">
        <v>220</v>
      </c>
      <c r="J85" s="19"/>
      <c r="K85" s="20">
        <v>0</v>
      </c>
      <c r="N85">
        <f t="shared" si="8"/>
        <v>80715</v>
      </c>
      <c r="O85">
        <f>IF(AND(A85&gt;0,A85&lt;999),IFERROR(VLOOKUP(results0140[[#This Row],[Card]],U14M[],1,FALSE),0),0)</f>
        <v>0</v>
      </c>
      <c r="P85">
        <f t="shared" si="9"/>
        <v>999</v>
      </c>
      <c r="Q85" s="5">
        <f t="shared" si="10"/>
        <v>10</v>
      </c>
      <c r="R85" s="5">
        <f t="shared" si="11"/>
        <v>999</v>
      </c>
    </row>
    <row r="86" spans="1:18" x14ac:dyDescent="0.25">
      <c r="A86" s="13">
        <v>999</v>
      </c>
      <c r="B86" s="14">
        <v>81108</v>
      </c>
      <c r="C86" s="14">
        <v>20</v>
      </c>
      <c r="D86" s="15" t="s">
        <v>44</v>
      </c>
      <c r="E86" s="15" t="s">
        <v>22</v>
      </c>
      <c r="F86" s="14">
        <v>5</v>
      </c>
      <c r="G86" s="15" t="s">
        <v>16</v>
      </c>
      <c r="H86" s="15">
        <v>42.78</v>
      </c>
      <c r="I86" s="15" t="s">
        <v>220</v>
      </c>
      <c r="J86" s="15"/>
      <c r="K86" s="16">
        <v>0</v>
      </c>
      <c r="N86">
        <f t="shared" si="8"/>
        <v>81108</v>
      </c>
      <c r="O86">
        <f>IF(AND(A86&gt;0,A86&lt;999),IFERROR(VLOOKUP(results0140[[#This Row],[Card]],U14M[],1,FALSE),0),0)</f>
        <v>0</v>
      </c>
      <c r="P86">
        <f t="shared" si="9"/>
        <v>999</v>
      </c>
      <c r="Q86" s="5">
        <f t="shared" si="10"/>
        <v>8</v>
      </c>
      <c r="R86" s="5">
        <f t="shared" si="11"/>
        <v>999</v>
      </c>
    </row>
    <row r="87" spans="1:18" x14ac:dyDescent="0.25">
      <c r="A87" s="17">
        <v>999</v>
      </c>
      <c r="B87" s="18">
        <v>80621</v>
      </c>
      <c r="C87" s="18">
        <v>30</v>
      </c>
      <c r="D87" s="19" t="s">
        <v>18</v>
      </c>
      <c r="E87" s="19" t="s">
        <v>19</v>
      </c>
      <c r="F87" s="18">
        <v>4</v>
      </c>
      <c r="G87" s="19" t="s">
        <v>16</v>
      </c>
      <c r="H87" s="19">
        <v>42.01</v>
      </c>
      <c r="I87" s="19" t="s">
        <v>220</v>
      </c>
      <c r="J87" s="19"/>
      <c r="K87" s="20">
        <v>0</v>
      </c>
      <c r="N87">
        <f t="shared" si="8"/>
        <v>80621</v>
      </c>
      <c r="O87">
        <f>IF(AND(A87&gt;0,A87&lt;999),IFERROR(VLOOKUP(results0140[[#This Row],[Card]],U14M[],1,FALSE),0),0)</f>
        <v>0</v>
      </c>
      <c r="P87">
        <f t="shared" si="9"/>
        <v>999</v>
      </c>
      <c r="Q87" s="5">
        <f t="shared" si="10"/>
        <v>2</v>
      </c>
      <c r="R87" s="5">
        <f t="shared" si="11"/>
        <v>999</v>
      </c>
    </row>
    <row r="88" spans="1:18" x14ac:dyDescent="0.25">
      <c r="A88" s="13">
        <v>999</v>
      </c>
      <c r="B88" s="14">
        <v>86143</v>
      </c>
      <c r="C88" s="14">
        <v>39</v>
      </c>
      <c r="D88" s="15" t="s">
        <v>125</v>
      </c>
      <c r="E88" s="15" t="s">
        <v>42</v>
      </c>
      <c r="F88" s="14">
        <v>4</v>
      </c>
      <c r="G88" s="15" t="s">
        <v>16</v>
      </c>
      <c r="H88" s="15">
        <v>44.64</v>
      </c>
      <c r="I88" s="15" t="s">
        <v>220</v>
      </c>
      <c r="J88" s="15"/>
      <c r="K88" s="16">
        <v>0</v>
      </c>
      <c r="N88">
        <f t="shared" si="8"/>
        <v>86143</v>
      </c>
      <c r="O88">
        <f>IF(AND(A88&gt;0,A88&lt;999),IFERROR(VLOOKUP(results0140[[#This Row],[Card]],U14M[],1,FALSE),0),0)</f>
        <v>0</v>
      </c>
      <c r="P88">
        <f t="shared" si="9"/>
        <v>999</v>
      </c>
      <c r="Q88" s="5">
        <f t="shared" si="10"/>
        <v>20</v>
      </c>
      <c r="R88" s="5">
        <f t="shared" si="11"/>
        <v>999</v>
      </c>
    </row>
    <row r="89" spans="1:18" x14ac:dyDescent="0.25">
      <c r="A89" s="17">
        <v>999</v>
      </c>
      <c r="B89" s="18">
        <v>80615</v>
      </c>
      <c r="C89" s="18">
        <v>54</v>
      </c>
      <c r="D89" s="19" t="s">
        <v>292</v>
      </c>
      <c r="E89" s="19" t="s">
        <v>19</v>
      </c>
      <c r="F89" s="18">
        <v>4</v>
      </c>
      <c r="G89" s="19" t="s">
        <v>16</v>
      </c>
      <c r="H89" s="19">
        <v>47.84</v>
      </c>
      <c r="I89" s="19" t="s">
        <v>220</v>
      </c>
      <c r="J89" s="19"/>
      <c r="K89" s="20">
        <v>0</v>
      </c>
      <c r="N89">
        <f t="shared" si="8"/>
        <v>80615</v>
      </c>
      <c r="O89">
        <f>IF(AND(A89&gt;0,A89&lt;999),IFERROR(VLOOKUP(results0140[[#This Row],[Card]],U14M[],1,FALSE),0),0)</f>
        <v>0</v>
      </c>
      <c r="P89">
        <f t="shared" si="9"/>
        <v>999</v>
      </c>
      <c r="Q89" s="5">
        <f t="shared" si="10"/>
        <v>42</v>
      </c>
      <c r="R89" s="5">
        <f t="shared" si="11"/>
        <v>999</v>
      </c>
    </row>
    <row r="90" spans="1:18" x14ac:dyDescent="0.25">
      <c r="A90" s="13">
        <v>999</v>
      </c>
      <c r="B90" s="14">
        <v>84763</v>
      </c>
      <c r="C90" s="14">
        <v>60</v>
      </c>
      <c r="D90" s="15" t="s">
        <v>103</v>
      </c>
      <c r="E90" s="15" t="s">
        <v>15</v>
      </c>
      <c r="F90" s="14">
        <v>5</v>
      </c>
      <c r="G90" s="15" t="s">
        <v>16</v>
      </c>
      <c r="H90" s="15">
        <v>43.91</v>
      </c>
      <c r="I90" s="15" t="s">
        <v>220</v>
      </c>
      <c r="J90" s="15"/>
      <c r="K90" s="16">
        <v>0</v>
      </c>
      <c r="N90">
        <f t="shared" si="8"/>
        <v>84763</v>
      </c>
      <c r="O90">
        <f>IF(AND(A90&gt;0,A90&lt;999),IFERROR(VLOOKUP(results0140[[#This Row],[Card]],U14M[],1,FALSE),0),0)</f>
        <v>0</v>
      </c>
      <c r="P90">
        <f t="shared" si="9"/>
        <v>999</v>
      </c>
      <c r="Q90" s="5">
        <f t="shared" si="10"/>
        <v>12</v>
      </c>
      <c r="R90" s="5">
        <f t="shared" si="11"/>
        <v>999</v>
      </c>
    </row>
    <row r="91" spans="1:18" x14ac:dyDescent="0.25">
      <c r="A91" s="17">
        <v>999</v>
      </c>
      <c r="B91" s="18">
        <v>78680</v>
      </c>
      <c r="C91" s="18">
        <v>64</v>
      </c>
      <c r="D91" s="19" t="s">
        <v>127</v>
      </c>
      <c r="E91" s="19" t="s">
        <v>22</v>
      </c>
      <c r="F91" s="18">
        <v>5</v>
      </c>
      <c r="G91" s="19" t="s">
        <v>16</v>
      </c>
      <c r="H91" s="19">
        <v>44.5</v>
      </c>
      <c r="I91" s="19" t="s">
        <v>220</v>
      </c>
      <c r="J91" s="19"/>
      <c r="K91" s="20">
        <v>0</v>
      </c>
      <c r="N91">
        <f t="shared" si="8"/>
        <v>78680</v>
      </c>
      <c r="O91">
        <f>IF(AND(A91&gt;0,A91&lt;999),IFERROR(VLOOKUP(results0140[[#This Row],[Card]],U14M[],1,FALSE),0),0)</f>
        <v>0</v>
      </c>
      <c r="P91">
        <f t="shared" si="9"/>
        <v>999</v>
      </c>
      <c r="Q91" s="5">
        <f t="shared" si="10"/>
        <v>17</v>
      </c>
      <c r="R91" s="5">
        <f t="shared" si="11"/>
        <v>999</v>
      </c>
    </row>
    <row r="92" spans="1:18" x14ac:dyDescent="0.25">
      <c r="A92" s="13">
        <v>999</v>
      </c>
      <c r="B92" s="14">
        <v>80662</v>
      </c>
      <c r="C92" s="14">
        <v>68</v>
      </c>
      <c r="D92" s="15" t="s">
        <v>158</v>
      </c>
      <c r="E92" s="15" t="s">
        <v>61</v>
      </c>
      <c r="F92" s="14">
        <v>4</v>
      </c>
      <c r="G92" s="15" t="s">
        <v>16</v>
      </c>
      <c r="H92" s="15">
        <v>49.2</v>
      </c>
      <c r="I92" s="15" t="s">
        <v>220</v>
      </c>
      <c r="J92" s="15"/>
      <c r="K92" s="16">
        <v>0</v>
      </c>
      <c r="N92">
        <f t="shared" si="8"/>
        <v>80662</v>
      </c>
      <c r="O92">
        <f>IF(AND(A92&gt;0,A92&lt;999),IFERROR(VLOOKUP(results0140[[#This Row],[Card]],U14M[],1,FALSE),0),0)</f>
        <v>0</v>
      </c>
      <c r="P92">
        <f t="shared" si="9"/>
        <v>999</v>
      </c>
      <c r="Q92" s="5">
        <f t="shared" si="10"/>
        <v>49</v>
      </c>
      <c r="R92" s="5">
        <f t="shared" si="11"/>
        <v>999</v>
      </c>
    </row>
    <row r="93" spans="1:18" x14ac:dyDescent="0.25">
      <c r="A93" s="17">
        <v>999</v>
      </c>
      <c r="B93" s="18">
        <v>85950</v>
      </c>
      <c r="C93" s="18">
        <v>92</v>
      </c>
      <c r="D93" s="19" t="s">
        <v>206</v>
      </c>
      <c r="E93" s="19" t="s">
        <v>31</v>
      </c>
      <c r="F93" s="18">
        <v>4</v>
      </c>
      <c r="G93" s="19" t="s">
        <v>16</v>
      </c>
      <c r="H93" s="19">
        <v>52.45</v>
      </c>
      <c r="I93" s="19" t="s">
        <v>220</v>
      </c>
      <c r="J93" s="19"/>
      <c r="K93" s="20">
        <v>0</v>
      </c>
      <c r="N93">
        <f t="shared" si="8"/>
        <v>85950</v>
      </c>
      <c r="O93">
        <f>IF(AND(A93&gt;0,A93&lt;999),IFERROR(VLOOKUP(results0140[[#This Row],[Card]],U14M[],1,FALSE),0),0)</f>
        <v>0</v>
      </c>
      <c r="P93">
        <f t="shared" si="9"/>
        <v>999</v>
      </c>
      <c r="Q93" s="5">
        <f t="shared" si="10"/>
        <v>64</v>
      </c>
      <c r="R93" s="5">
        <f t="shared" si="11"/>
        <v>999</v>
      </c>
    </row>
    <row r="94" spans="1:18" x14ac:dyDescent="0.25">
      <c r="A94" s="13">
        <v>999</v>
      </c>
      <c r="B94" s="14">
        <v>88381</v>
      </c>
      <c r="C94" s="14">
        <v>100</v>
      </c>
      <c r="D94" s="15" t="s">
        <v>181</v>
      </c>
      <c r="E94" s="15" t="s">
        <v>47</v>
      </c>
      <c r="F94" s="14">
        <v>5</v>
      </c>
      <c r="G94" s="15" t="s">
        <v>16</v>
      </c>
      <c r="H94" s="15">
        <v>55.43</v>
      </c>
      <c r="I94" s="15" t="s">
        <v>220</v>
      </c>
      <c r="J94" s="15"/>
      <c r="K94" s="16">
        <v>0</v>
      </c>
      <c r="N94">
        <f t="shared" si="8"/>
        <v>88381</v>
      </c>
      <c r="O94">
        <f>IF(AND(A94&gt;0,A94&lt;999),IFERROR(VLOOKUP(results0140[[#This Row],[Card]],U14M[],1,FALSE),0),0)</f>
        <v>0</v>
      </c>
      <c r="P94">
        <f t="shared" si="9"/>
        <v>999</v>
      </c>
      <c r="Q94" s="5">
        <f t="shared" si="10"/>
        <v>67</v>
      </c>
      <c r="R94" s="5">
        <f t="shared" si="11"/>
        <v>999</v>
      </c>
    </row>
    <row r="95" spans="1:18" x14ac:dyDescent="0.25">
      <c r="A95" s="17">
        <v>999</v>
      </c>
      <c r="B95" s="18">
        <v>74564</v>
      </c>
      <c r="C95" s="18">
        <v>114</v>
      </c>
      <c r="D95" s="19" t="s">
        <v>100</v>
      </c>
      <c r="E95" s="19" t="s">
        <v>101</v>
      </c>
      <c r="F95" s="18">
        <v>5</v>
      </c>
      <c r="G95" s="19" t="s">
        <v>16</v>
      </c>
      <c r="H95" s="19">
        <v>57.41</v>
      </c>
      <c r="I95" s="19" t="s">
        <v>220</v>
      </c>
      <c r="J95" s="19"/>
      <c r="K95" s="20">
        <v>0</v>
      </c>
      <c r="N95">
        <f t="shared" si="8"/>
        <v>74564</v>
      </c>
      <c r="O95">
        <f>IF(AND(A95&gt;0,A95&lt;999),IFERROR(VLOOKUP(results0140[[#This Row],[Card]],U14M[],1,FALSE),0),0)</f>
        <v>0</v>
      </c>
      <c r="P95">
        <f t="shared" si="9"/>
        <v>999</v>
      </c>
      <c r="Q95" s="5">
        <f t="shared" si="10"/>
        <v>69</v>
      </c>
      <c r="R95" s="5">
        <f t="shared" si="11"/>
        <v>999</v>
      </c>
    </row>
    <row r="96" spans="1:18" x14ac:dyDescent="0.25">
      <c r="A96" s="13">
        <v>999</v>
      </c>
      <c r="B96" s="14">
        <v>81081</v>
      </c>
      <c r="C96" s="14">
        <v>115</v>
      </c>
      <c r="D96" s="15" t="s">
        <v>330</v>
      </c>
      <c r="E96" s="15" t="s">
        <v>31</v>
      </c>
      <c r="F96" s="14">
        <v>5</v>
      </c>
      <c r="G96" s="15" t="s">
        <v>16</v>
      </c>
      <c r="H96" s="15">
        <v>51.02</v>
      </c>
      <c r="I96" s="15" t="s">
        <v>220</v>
      </c>
      <c r="J96" s="15"/>
      <c r="K96" s="16">
        <v>0</v>
      </c>
      <c r="N96">
        <f t="shared" si="8"/>
        <v>81081</v>
      </c>
      <c r="O96">
        <f>IF(AND(A96&gt;0,A96&lt;999),IFERROR(VLOOKUP(results0140[[#This Row],[Card]],U14M[],1,FALSE),0),0)</f>
        <v>0</v>
      </c>
      <c r="P96">
        <f t="shared" si="9"/>
        <v>999</v>
      </c>
      <c r="Q96" s="5">
        <f t="shared" si="10"/>
        <v>58</v>
      </c>
      <c r="R96" s="5">
        <f t="shared" si="11"/>
        <v>999</v>
      </c>
    </row>
    <row r="97" spans="1:18" x14ac:dyDescent="0.25">
      <c r="A97" s="17">
        <v>999</v>
      </c>
      <c r="B97" s="18">
        <v>85546</v>
      </c>
      <c r="C97" s="18">
        <v>116</v>
      </c>
      <c r="D97" s="19" t="s">
        <v>221</v>
      </c>
      <c r="E97" s="19" t="s">
        <v>117</v>
      </c>
      <c r="F97" s="18">
        <v>4</v>
      </c>
      <c r="G97" s="19" t="s">
        <v>16</v>
      </c>
      <c r="H97" s="19">
        <v>50.78</v>
      </c>
      <c r="I97" s="19" t="s">
        <v>220</v>
      </c>
      <c r="J97" s="19"/>
      <c r="K97" s="20">
        <v>0</v>
      </c>
      <c r="N97">
        <f t="shared" si="8"/>
        <v>85546</v>
      </c>
      <c r="O97">
        <f>IF(AND(A97&gt;0,A97&lt;999),IFERROR(VLOOKUP(results0140[[#This Row],[Card]],U14M[],1,FALSE),0),0)</f>
        <v>0</v>
      </c>
      <c r="P97">
        <f t="shared" si="9"/>
        <v>999</v>
      </c>
      <c r="Q97" s="5">
        <f t="shared" si="10"/>
        <v>56</v>
      </c>
      <c r="R97" s="5">
        <f t="shared" si="11"/>
        <v>999</v>
      </c>
    </row>
    <row r="98" spans="1:18" x14ac:dyDescent="0.25">
      <c r="A98" s="13">
        <v>999</v>
      </c>
      <c r="B98" s="14">
        <v>80729</v>
      </c>
      <c r="C98" s="14">
        <v>15</v>
      </c>
      <c r="D98" s="15" t="s">
        <v>90</v>
      </c>
      <c r="E98" s="15" t="s">
        <v>22</v>
      </c>
      <c r="F98" s="14">
        <v>4</v>
      </c>
      <c r="G98" s="15" t="s">
        <v>16</v>
      </c>
      <c r="H98" s="15">
        <v>43.24</v>
      </c>
      <c r="I98" s="15" t="s">
        <v>383</v>
      </c>
      <c r="J98" s="15"/>
      <c r="K98" s="16">
        <v>0</v>
      </c>
      <c r="N98">
        <f t="shared" ref="N98:N117" si="12">B98</f>
        <v>80729</v>
      </c>
      <c r="O98">
        <f>IF(AND(A98&gt;0,A98&lt;999),IFERROR(VLOOKUP(results0140[[#This Row],[Card]],U14M[],1,FALSE),0),0)</f>
        <v>0</v>
      </c>
      <c r="P98">
        <f t="shared" ref="P98:P117" si="13">A98</f>
        <v>999</v>
      </c>
      <c r="Q98" s="5">
        <f t="shared" ref="Q98:Q117" si="14">IFERROR(_xlfn.RANK.EQ(H98,$H$2:$H$117,1),999)</f>
        <v>11</v>
      </c>
      <c r="R98" s="5">
        <f t="shared" ref="R98:R117" si="15">IFERROR(_xlfn.RANK.EQ(I98,$I$2:$I$117,1),999)</f>
        <v>999</v>
      </c>
    </row>
    <row r="99" spans="1:18" x14ac:dyDescent="0.25">
      <c r="A99" s="17">
        <v>999</v>
      </c>
      <c r="B99" s="18">
        <v>78726</v>
      </c>
      <c r="C99" s="18">
        <v>18</v>
      </c>
      <c r="D99" s="19" t="s">
        <v>322</v>
      </c>
      <c r="E99" s="19" t="s">
        <v>309</v>
      </c>
      <c r="F99" s="18">
        <v>4</v>
      </c>
      <c r="G99" s="19" t="s">
        <v>16</v>
      </c>
      <c r="H99" s="19">
        <v>50.8</v>
      </c>
      <c r="I99" s="19" t="s">
        <v>383</v>
      </c>
      <c r="J99" s="19"/>
      <c r="K99" s="20">
        <v>0</v>
      </c>
      <c r="N99">
        <f t="shared" si="12"/>
        <v>78726</v>
      </c>
      <c r="O99">
        <f>IF(AND(A99&gt;0,A99&lt;999),IFERROR(VLOOKUP(results0140[[#This Row],[Card]],U14M[],1,FALSE),0),0)</f>
        <v>0</v>
      </c>
      <c r="P99">
        <f t="shared" si="13"/>
        <v>999</v>
      </c>
      <c r="Q99" s="5">
        <f t="shared" si="14"/>
        <v>57</v>
      </c>
      <c r="R99" s="5">
        <f t="shared" si="15"/>
        <v>999</v>
      </c>
    </row>
    <row r="100" spans="1:18" x14ac:dyDescent="0.25">
      <c r="A100" s="13">
        <v>999</v>
      </c>
      <c r="B100" s="14">
        <v>80680</v>
      </c>
      <c r="C100" s="14">
        <v>19</v>
      </c>
      <c r="D100" s="15" t="s">
        <v>28</v>
      </c>
      <c r="E100" s="15" t="s">
        <v>15</v>
      </c>
      <c r="F100" s="14">
        <v>4</v>
      </c>
      <c r="G100" s="15" t="s">
        <v>16</v>
      </c>
      <c r="H100" s="15">
        <v>45.72</v>
      </c>
      <c r="I100" s="15" t="s">
        <v>383</v>
      </c>
      <c r="J100" s="15"/>
      <c r="K100" s="16">
        <v>0</v>
      </c>
      <c r="N100">
        <f t="shared" si="12"/>
        <v>80680</v>
      </c>
      <c r="O100">
        <f>IF(AND(A100&gt;0,A100&lt;999),IFERROR(VLOOKUP(results0140[[#This Row],[Card]],U14M[],1,FALSE),0),0)</f>
        <v>0</v>
      </c>
      <c r="P100">
        <f t="shared" si="13"/>
        <v>999</v>
      </c>
      <c r="Q100" s="5">
        <f t="shared" si="14"/>
        <v>28</v>
      </c>
      <c r="R100" s="5">
        <f t="shared" si="15"/>
        <v>999</v>
      </c>
    </row>
    <row r="101" spans="1:18" x14ac:dyDescent="0.25">
      <c r="A101" s="17">
        <v>999</v>
      </c>
      <c r="B101" s="18">
        <v>80720</v>
      </c>
      <c r="C101" s="18">
        <v>25</v>
      </c>
      <c r="D101" s="19" t="s">
        <v>98</v>
      </c>
      <c r="E101" s="19" t="s">
        <v>22</v>
      </c>
      <c r="F101" s="18">
        <v>5</v>
      </c>
      <c r="G101" s="19" t="s">
        <v>16</v>
      </c>
      <c r="H101" s="19">
        <v>42.49</v>
      </c>
      <c r="I101" s="19" t="s">
        <v>384</v>
      </c>
      <c r="J101" s="19"/>
      <c r="K101" s="20">
        <v>0</v>
      </c>
      <c r="N101">
        <f t="shared" si="12"/>
        <v>80720</v>
      </c>
      <c r="O101">
        <f>IF(AND(A101&gt;0,A101&lt;999),IFERROR(VLOOKUP(results0140[[#This Row],[Card]],U14M[],1,FALSE),0),0)</f>
        <v>0</v>
      </c>
      <c r="P101">
        <f t="shared" si="13"/>
        <v>999</v>
      </c>
      <c r="Q101" s="5">
        <f t="shared" si="14"/>
        <v>5</v>
      </c>
      <c r="R101" s="5">
        <f t="shared" si="15"/>
        <v>999</v>
      </c>
    </row>
    <row r="102" spans="1:18" x14ac:dyDescent="0.25">
      <c r="A102" s="13">
        <v>999</v>
      </c>
      <c r="B102" s="14">
        <v>76653</v>
      </c>
      <c r="C102" s="14">
        <v>27</v>
      </c>
      <c r="D102" s="15" t="s">
        <v>37</v>
      </c>
      <c r="E102" s="15" t="s">
        <v>38</v>
      </c>
      <c r="F102" s="14">
        <v>4</v>
      </c>
      <c r="G102" s="15" t="s">
        <v>16</v>
      </c>
      <c r="H102" s="15">
        <v>44.62</v>
      </c>
      <c r="I102" s="15" t="s">
        <v>383</v>
      </c>
      <c r="J102" s="15"/>
      <c r="K102" s="16">
        <v>0</v>
      </c>
      <c r="N102">
        <f t="shared" si="12"/>
        <v>76653</v>
      </c>
      <c r="O102">
        <f>IF(AND(A102&gt;0,A102&lt;999),IFERROR(VLOOKUP(results0140[[#This Row],[Card]],U14M[],1,FALSE),0),0)</f>
        <v>0</v>
      </c>
      <c r="P102">
        <f t="shared" si="13"/>
        <v>999</v>
      </c>
      <c r="Q102" s="5">
        <f t="shared" si="14"/>
        <v>19</v>
      </c>
      <c r="R102" s="5">
        <f t="shared" si="15"/>
        <v>999</v>
      </c>
    </row>
    <row r="103" spans="1:18" x14ac:dyDescent="0.25">
      <c r="A103" s="17">
        <v>999</v>
      </c>
      <c r="B103" s="18">
        <v>80625</v>
      </c>
      <c r="C103" s="18">
        <v>33</v>
      </c>
      <c r="D103" s="19" t="s">
        <v>76</v>
      </c>
      <c r="E103" s="19" t="s">
        <v>19</v>
      </c>
      <c r="F103" s="18">
        <v>4</v>
      </c>
      <c r="G103" s="19" t="s">
        <v>16</v>
      </c>
      <c r="H103" s="19">
        <v>42.61</v>
      </c>
      <c r="I103" s="19" t="s">
        <v>384</v>
      </c>
      <c r="J103" s="19"/>
      <c r="K103" s="20">
        <v>0</v>
      </c>
      <c r="N103">
        <f t="shared" si="12"/>
        <v>80625</v>
      </c>
      <c r="O103">
        <f>IF(AND(A103&gt;0,A103&lt;999),IFERROR(VLOOKUP(results0140[[#This Row],[Card]],U14M[],1,FALSE),0),0)</f>
        <v>0</v>
      </c>
      <c r="P103">
        <f t="shared" si="13"/>
        <v>999</v>
      </c>
      <c r="Q103" s="5">
        <f t="shared" si="14"/>
        <v>6</v>
      </c>
      <c r="R103" s="5">
        <f t="shared" si="15"/>
        <v>999</v>
      </c>
    </row>
    <row r="104" spans="1:18" x14ac:dyDescent="0.25">
      <c r="A104" s="13">
        <v>999</v>
      </c>
      <c r="B104" s="14">
        <v>86113</v>
      </c>
      <c r="C104" s="14">
        <v>34</v>
      </c>
      <c r="D104" s="15" t="s">
        <v>142</v>
      </c>
      <c r="E104" s="15" t="s">
        <v>101</v>
      </c>
      <c r="F104" s="14">
        <v>5</v>
      </c>
      <c r="G104" s="15" t="s">
        <v>16</v>
      </c>
      <c r="H104" s="15">
        <v>45.33</v>
      </c>
      <c r="I104" s="15" t="s">
        <v>383</v>
      </c>
      <c r="J104" s="15"/>
      <c r="K104" s="16">
        <v>0</v>
      </c>
      <c r="N104">
        <f t="shared" si="12"/>
        <v>86113</v>
      </c>
      <c r="O104">
        <f>IF(AND(A104&gt;0,A104&lt;999),IFERROR(VLOOKUP(results0140[[#This Row],[Card]],U14M[],1,FALSE),0),0)</f>
        <v>0</v>
      </c>
      <c r="P104">
        <f t="shared" si="13"/>
        <v>999</v>
      </c>
      <c r="Q104" s="5">
        <f t="shared" si="14"/>
        <v>25</v>
      </c>
      <c r="R104" s="5">
        <f t="shared" si="15"/>
        <v>999</v>
      </c>
    </row>
    <row r="105" spans="1:18" x14ac:dyDescent="0.25">
      <c r="A105" s="17">
        <v>999</v>
      </c>
      <c r="B105" s="18">
        <v>81491</v>
      </c>
      <c r="C105" s="18">
        <v>36</v>
      </c>
      <c r="D105" s="19" t="s">
        <v>105</v>
      </c>
      <c r="E105" s="19" t="s">
        <v>22</v>
      </c>
      <c r="F105" s="18">
        <v>5</v>
      </c>
      <c r="G105" s="19" t="s">
        <v>16</v>
      </c>
      <c r="H105" s="19">
        <v>45.8</v>
      </c>
      <c r="I105" s="19" t="s">
        <v>383</v>
      </c>
      <c r="J105" s="19"/>
      <c r="K105" s="20">
        <v>0</v>
      </c>
      <c r="N105">
        <f t="shared" si="12"/>
        <v>81491</v>
      </c>
      <c r="O105">
        <f>IF(AND(A105&gt;0,A105&lt;999),IFERROR(VLOOKUP(results0140[[#This Row],[Card]],U14M[],1,FALSE),0),0)</f>
        <v>0</v>
      </c>
      <c r="P105">
        <f t="shared" si="13"/>
        <v>999</v>
      </c>
      <c r="Q105" s="5">
        <f t="shared" si="14"/>
        <v>30</v>
      </c>
      <c r="R105" s="5">
        <f t="shared" si="15"/>
        <v>999</v>
      </c>
    </row>
    <row r="106" spans="1:18" x14ac:dyDescent="0.25">
      <c r="A106" s="13">
        <v>999</v>
      </c>
      <c r="B106" s="14">
        <v>85853</v>
      </c>
      <c r="C106" s="14">
        <v>42</v>
      </c>
      <c r="D106" s="15" t="s">
        <v>82</v>
      </c>
      <c r="E106" s="15" t="s">
        <v>15</v>
      </c>
      <c r="F106" s="14">
        <v>5</v>
      </c>
      <c r="G106" s="15" t="s">
        <v>16</v>
      </c>
      <c r="H106" s="15">
        <v>45.14</v>
      </c>
      <c r="I106" s="15" t="s">
        <v>385</v>
      </c>
      <c r="J106" s="15"/>
      <c r="K106" s="16">
        <v>0</v>
      </c>
      <c r="N106">
        <f t="shared" si="12"/>
        <v>85853</v>
      </c>
      <c r="O106">
        <f>IF(AND(A106&gt;0,A106&lt;999),IFERROR(VLOOKUP(results0140[[#This Row],[Card]],U14M[],1,FALSE),0),0)</f>
        <v>0</v>
      </c>
      <c r="P106">
        <f t="shared" si="13"/>
        <v>999</v>
      </c>
      <c r="Q106" s="5">
        <f t="shared" si="14"/>
        <v>22</v>
      </c>
      <c r="R106" s="5">
        <f t="shared" si="15"/>
        <v>999</v>
      </c>
    </row>
    <row r="107" spans="1:18" x14ac:dyDescent="0.25">
      <c r="A107" s="17">
        <v>999</v>
      </c>
      <c r="B107" s="18">
        <v>78276</v>
      </c>
      <c r="C107" s="18">
        <v>46</v>
      </c>
      <c r="D107" s="19" t="s">
        <v>92</v>
      </c>
      <c r="E107" s="19" t="s">
        <v>31</v>
      </c>
      <c r="F107" s="18">
        <v>4</v>
      </c>
      <c r="G107" s="19" t="s">
        <v>16</v>
      </c>
      <c r="H107" s="19">
        <v>45.75</v>
      </c>
      <c r="I107" s="19" t="s">
        <v>383</v>
      </c>
      <c r="J107" s="19"/>
      <c r="K107" s="20">
        <v>0</v>
      </c>
      <c r="N107">
        <f t="shared" si="12"/>
        <v>78276</v>
      </c>
      <c r="O107">
        <f>IF(AND(A107&gt;0,A107&lt;999),IFERROR(VLOOKUP(results0140[[#This Row],[Card]],U14M[],1,FALSE),0),0)</f>
        <v>0</v>
      </c>
      <c r="P107">
        <f t="shared" si="13"/>
        <v>999</v>
      </c>
      <c r="Q107" s="5">
        <f t="shared" si="14"/>
        <v>29</v>
      </c>
      <c r="R107" s="5">
        <f t="shared" si="15"/>
        <v>999</v>
      </c>
    </row>
    <row r="108" spans="1:18" x14ac:dyDescent="0.25">
      <c r="A108" s="13">
        <v>999</v>
      </c>
      <c r="B108" s="14">
        <v>81500</v>
      </c>
      <c r="C108" s="14">
        <v>58</v>
      </c>
      <c r="D108" s="15" t="s">
        <v>131</v>
      </c>
      <c r="E108" s="15" t="s">
        <v>22</v>
      </c>
      <c r="F108" s="14">
        <v>5</v>
      </c>
      <c r="G108" s="15" t="s">
        <v>16</v>
      </c>
      <c r="H108" s="15">
        <v>46.2</v>
      </c>
      <c r="I108" s="15" t="s">
        <v>384</v>
      </c>
      <c r="J108" s="15"/>
      <c r="K108" s="16">
        <v>0</v>
      </c>
      <c r="N108">
        <f t="shared" si="12"/>
        <v>81500</v>
      </c>
      <c r="O108">
        <f>IF(AND(A108&gt;0,A108&lt;999),IFERROR(VLOOKUP(results0140[[#This Row],[Card]],U14M[],1,FALSE),0),0)</f>
        <v>0</v>
      </c>
      <c r="P108">
        <f t="shared" si="13"/>
        <v>999</v>
      </c>
      <c r="Q108" s="5">
        <f t="shared" si="14"/>
        <v>31</v>
      </c>
      <c r="R108" s="5">
        <f t="shared" si="15"/>
        <v>999</v>
      </c>
    </row>
    <row r="109" spans="1:18" x14ac:dyDescent="0.25">
      <c r="A109" s="17">
        <v>999</v>
      </c>
      <c r="B109" s="18">
        <v>85772</v>
      </c>
      <c r="C109" s="18">
        <v>70</v>
      </c>
      <c r="D109" s="19" t="s">
        <v>196</v>
      </c>
      <c r="E109" s="19" t="s">
        <v>15</v>
      </c>
      <c r="F109" s="18">
        <v>5</v>
      </c>
      <c r="G109" s="19" t="s">
        <v>16</v>
      </c>
      <c r="H109" s="19">
        <v>47.64</v>
      </c>
      <c r="I109" s="19" t="s">
        <v>383</v>
      </c>
      <c r="J109" s="19"/>
      <c r="K109" s="20">
        <v>0</v>
      </c>
      <c r="N109">
        <f t="shared" si="12"/>
        <v>85772</v>
      </c>
      <c r="O109">
        <f>IF(AND(A109&gt;0,A109&lt;999),IFERROR(VLOOKUP(results0140[[#This Row],[Card]],U14M[],1,FALSE),0),0)</f>
        <v>0</v>
      </c>
      <c r="P109">
        <f t="shared" si="13"/>
        <v>999</v>
      </c>
      <c r="Q109" s="5">
        <f t="shared" si="14"/>
        <v>40</v>
      </c>
      <c r="R109" s="5">
        <f t="shared" si="15"/>
        <v>999</v>
      </c>
    </row>
    <row r="110" spans="1:18" x14ac:dyDescent="0.25">
      <c r="A110" s="13">
        <v>999</v>
      </c>
      <c r="B110" s="14">
        <v>80690</v>
      </c>
      <c r="C110" s="14">
        <v>71</v>
      </c>
      <c r="D110" s="15" t="s">
        <v>148</v>
      </c>
      <c r="E110" s="15" t="s">
        <v>31</v>
      </c>
      <c r="F110" s="14">
        <v>5</v>
      </c>
      <c r="G110" s="15" t="s">
        <v>16</v>
      </c>
      <c r="H110" s="15">
        <v>47.06</v>
      </c>
      <c r="I110" s="15" t="s">
        <v>383</v>
      </c>
      <c r="J110" s="15"/>
      <c r="K110" s="16">
        <v>0</v>
      </c>
      <c r="N110">
        <f t="shared" si="12"/>
        <v>80690</v>
      </c>
      <c r="O110">
        <f>IF(AND(A110&gt;0,A110&lt;999),IFERROR(VLOOKUP(results0140[[#This Row],[Card]],U14M[],1,FALSE),0),0)</f>
        <v>0</v>
      </c>
      <c r="P110">
        <f t="shared" si="13"/>
        <v>999</v>
      </c>
      <c r="Q110" s="5">
        <f t="shared" si="14"/>
        <v>36</v>
      </c>
      <c r="R110" s="5">
        <f t="shared" si="15"/>
        <v>999</v>
      </c>
    </row>
    <row r="111" spans="1:18" x14ac:dyDescent="0.25">
      <c r="A111" s="17">
        <v>999</v>
      </c>
      <c r="B111" s="18">
        <v>79148</v>
      </c>
      <c r="C111" s="18">
        <v>72</v>
      </c>
      <c r="D111" s="19" t="s">
        <v>191</v>
      </c>
      <c r="E111" s="19" t="s">
        <v>31</v>
      </c>
      <c r="F111" s="18">
        <v>4</v>
      </c>
      <c r="G111" s="19" t="s">
        <v>16</v>
      </c>
      <c r="H111" s="19">
        <v>48.22</v>
      </c>
      <c r="I111" s="19" t="s">
        <v>384</v>
      </c>
      <c r="J111" s="19"/>
      <c r="K111" s="20">
        <v>0</v>
      </c>
      <c r="N111">
        <f t="shared" si="12"/>
        <v>79148</v>
      </c>
      <c r="O111">
        <f>IF(AND(A111&gt;0,A111&lt;999),IFERROR(VLOOKUP(results0140[[#This Row],[Card]],U14M[],1,FALSE),0),0)</f>
        <v>0</v>
      </c>
      <c r="P111">
        <f t="shared" si="13"/>
        <v>999</v>
      </c>
      <c r="Q111" s="5">
        <f t="shared" si="14"/>
        <v>45</v>
      </c>
      <c r="R111" s="5">
        <f t="shared" si="15"/>
        <v>999</v>
      </c>
    </row>
    <row r="112" spans="1:18" x14ac:dyDescent="0.25">
      <c r="A112" s="13">
        <v>999</v>
      </c>
      <c r="B112" s="14">
        <v>80835</v>
      </c>
      <c r="C112" s="14">
        <v>78</v>
      </c>
      <c r="D112" s="15" t="s">
        <v>302</v>
      </c>
      <c r="E112" s="15" t="s">
        <v>54</v>
      </c>
      <c r="F112" s="14">
        <v>5</v>
      </c>
      <c r="G112" s="15" t="s">
        <v>16</v>
      </c>
      <c r="H112" s="15">
        <v>49.8</v>
      </c>
      <c r="I112" s="15" t="s">
        <v>383</v>
      </c>
      <c r="J112" s="15"/>
      <c r="K112" s="16">
        <v>0</v>
      </c>
      <c r="N112">
        <f t="shared" si="12"/>
        <v>80835</v>
      </c>
      <c r="O112">
        <f>IF(AND(A112&gt;0,A112&lt;999),IFERROR(VLOOKUP(results0140[[#This Row],[Card]],U14M[],1,FALSE),0),0)</f>
        <v>0</v>
      </c>
      <c r="P112">
        <f t="shared" si="13"/>
        <v>999</v>
      </c>
      <c r="Q112" s="5">
        <f t="shared" si="14"/>
        <v>53</v>
      </c>
      <c r="R112" s="5">
        <f t="shared" si="15"/>
        <v>999</v>
      </c>
    </row>
    <row r="113" spans="1:18" x14ac:dyDescent="0.25">
      <c r="A113" s="17">
        <v>999</v>
      </c>
      <c r="B113" s="18">
        <v>80682</v>
      </c>
      <c r="C113" s="18">
        <v>90</v>
      </c>
      <c r="D113" s="19" t="s">
        <v>135</v>
      </c>
      <c r="E113" s="19" t="s">
        <v>15</v>
      </c>
      <c r="F113" s="18">
        <v>4</v>
      </c>
      <c r="G113" s="19" t="s">
        <v>16</v>
      </c>
      <c r="H113" s="19">
        <v>48.5</v>
      </c>
      <c r="I113" s="19" t="s">
        <v>383</v>
      </c>
      <c r="J113" s="19"/>
      <c r="K113" s="20">
        <v>0</v>
      </c>
      <c r="N113">
        <f t="shared" si="12"/>
        <v>80682</v>
      </c>
      <c r="O113">
        <f>IF(AND(A113&gt;0,A113&lt;999),IFERROR(VLOOKUP(results0140[[#This Row],[Card]],U14M[],1,FALSE),0),0)</f>
        <v>0</v>
      </c>
      <c r="P113">
        <f t="shared" si="13"/>
        <v>999</v>
      </c>
      <c r="Q113" s="5">
        <f t="shared" si="14"/>
        <v>47</v>
      </c>
      <c r="R113" s="5">
        <f t="shared" si="15"/>
        <v>999</v>
      </c>
    </row>
    <row r="114" spans="1:18" x14ac:dyDescent="0.25">
      <c r="A114" s="13">
        <v>999</v>
      </c>
      <c r="B114" s="14">
        <v>78178</v>
      </c>
      <c r="C114" s="14">
        <v>91</v>
      </c>
      <c r="D114" s="15" t="s">
        <v>194</v>
      </c>
      <c r="E114" s="15" t="s">
        <v>61</v>
      </c>
      <c r="F114" s="14">
        <v>4</v>
      </c>
      <c r="G114" s="15" t="s">
        <v>16</v>
      </c>
      <c r="H114" s="15">
        <v>47.45</v>
      </c>
      <c r="I114" s="15" t="s">
        <v>383</v>
      </c>
      <c r="J114" s="15"/>
      <c r="K114" s="16">
        <v>0</v>
      </c>
      <c r="N114">
        <f t="shared" si="12"/>
        <v>78178</v>
      </c>
      <c r="O114">
        <f>IF(AND(A114&gt;0,A114&lt;999),IFERROR(VLOOKUP(results0140[[#This Row],[Card]],U14M[],1,FALSE),0),0)</f>
        <v>0</v>
      </c>
      <c r="P114">
        <f t="shared" si="13"/>
        <v>999</v>
      </c>
      <c r="Q114" s="5">
        <f t="shared" si="14"/>
        <v>38</v>
      </c>
      <c r="R114" s="5">
        <f t="shared" si="15"/>
        <v>999</v>
      </c>
    </row>
    <row r="115" spans="1:18" x14ac:dyDescent="0.25">
      <c r="A115" s="17">
        <v>999</v>
      </c>
      <c r="B115" s="18">
        <v>81781</v>
      </c>
      <c r="C115" s="18">
        <v>101</v>
      </c>
      <c r="D115" s="19" t="s">
        <v>200</v>
      </c>
      <c r="E115" s="19" t="s">
        <v>38</v>
      </c>
      <c r="F115" s="18">
        <v>5</v>
      </c>
      <c r="G115" s="19" t="s">
        <v>16</v>
      </c>
      <c r="H115" s="19">
        <v>52</v>
      </c>
      <c r="I115" s="19" t="s">
        <v>383</v>
      </c>
      <c r="J115" s="19"/>
      <c r="K115" s="20">
        <v>0</v>
      </c>
      <c r="N115">
        <f t="shared" si="12"/>
        <v>81781</v>
      </c>
      <c r="O115">
        <f>IF(AND(A115&gt;0,A115&lt;999),IFERROR(VLOOKUP(results0140[[#This Row],[Card]],U14M[],1,FALSE),0),0)</f>
        <v>0</v>
      </c>
      <c r="P115">
        <f t="shared" si="13"/>
        <v>999</v>
      </c>
      <c r="Q115" s="5">
        <f t="shared" si="14"/>
        <v>60</v>
      </c>
      <c r="R115" s="5">
        <f t="shared" si="15"/>
        <v>999</v>
      </c>
    </row>
    <row r="116" spans="1:18" x14ac:dyDescent="0.25">
      <c r="A116" s="13">
        <v>999</v>
      </c>
      <c r="B116" s="14">
        <v>88391</v>
      </c>
      <c r="C116" s="14">
        <v>109</v>
      </c>
      <c r="D116" s="15" t="s">
        <v>284</v>
      </c>
      <c r="E116" s="15" t="s">
        <v>155</v>
      </c>
      <c r="F116" s="14">
        <v>5</v>
      </c>
      <c r="G116" s="15" t="s">
        <v>16</v>
      </c>
      <c r="H116" s="15">
        <v>49.44</v>
      </c>
      <c r="I116" s="15" t="s">
        <v>386</v>
      </c>
      <c r="J116" s="15"/>
      <c r="K116" s="16">
        <v>0</v>
      </c>
      <c r="N116">
        <f t="shared" si="12"/>
        <v>88391</v>
      </c>
      <c r="O116">
        <f>IF(AND(A116&gt;0,A116&lt;999),IFERROR(VLOOKUP(results0140[[#This Row],[Card]],U14M[],1,FALSE),0),0)</f>
        <v>0</v>
      </c>
      <c r="P116">
        <f t="shared" si="13"/>
        <v>999</v>
      </c>
      <c r="Q116" s="5">
        <f t="shared" si="14"/>
        <v>51</v>
      </c>
      <c r="R116" s="5">
        <f t="shared" si="15"/>
        <v>999</v>
      </c>
    </row>
    <row r="117" spans="1:18" x14ac:dyDescent="0.25">
      <c r="A117" s="6">
        <v>999</v>
      </c>
      <c r="B117" s="7">
        <v>89505</v>
      </c>
      <c r="C117" s="7">
        <v>110</v>
      </c>
      <c r="D117" s="8" t="s">
        <v>387</v>
      </c>
      <c r="E117" s="8" t="s">
        <v>388</v>
      </c>
      <c r="F117" s="7">
        <v>5</v>
      </c>
      <c r="G117" s="8" t="s">
        <v>16</v>
      </c>
      <c r="H117" s="8">
        <v>51.75</v>
      </c>
      <c r="I117" s="8" t="s">
        <v>384</v>
      </c>
      <c r="J117" s="8"/>
      <c r="K117" s="9">
        <v>0</v>
      </c>
      <c r="N117">
        <f t="shared" si="12"/>
        <v>89505</v>
      </c>
      <c r="O117">
        <f>IF(AND(A117&gt;0,A117&lt;999),IFERROR(VLOOKUP(results0140[[#This Row],[Card]],U14M[],1,FALSE),0),0)</f>
        <v>0</v>
      </c>
      <c r="P117">
        <f t="shared" si="13"/>
        <v>999</v>
      </c>
      <c r="Q117" s="5">
        <f t="shared" si="14"/>
        <v>59</v>
      </c>
      <c r="R117" s="5">
        <f t="shared" si="15"/>
        <v>999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workbookViewId="0">
      <selection activeCell="L30" sqref="L30"/>
    </sheetView>
  </sheetViews>
  <sheetFormatPr defaultRowHeight="15" x14ac:dyDescent="0.25"/>
  <cols>
    <col min="1" max="1" width="7.42578125" bestFit="1" customWidth="1"/>
    <col min="2" max="2" width="7.140625" bestFit="1" customWidth="1"/>
    <col min="3" max="3" width="5.85546875" bestFit="1" customWidth="1"/>
    <col min="4" max="4" width="24.5703125" bestFit="1" customWidth="1"/>
    <col min="5" max="5" width="7" bestFit="1" customWidth="1"/>
    <col min="6" max="6" width="6.7109375" bestFit="1" customWidth="1"/>
    <col min="7" max="7" width="10.7109375" bestFit="1" customWidth="1"/>
    <col min="8" max="8" width="9.42578125" bestFit="1" customWidth="1"/>
    <col min="9" max="9" width="9.7109375" bestFit="1" customWidth="1"/>
    <col min="10" max="10" width="12" bestFit="1" customWidth="1"/>
    <col min="11" max="11" width="8.42578125" bestFit="1" customWidth="1"/>
  </cols>
  <sheetData>
    <row r="1" spans="1:18" ht="14.45" x14ac:dyDescent="0.3">
      <c r="A1" s="10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N1" s="21" t="s">
        <v>3</v>
      </c>
      <c r="O1" s="21" t="s">
        <v>226</v>
      </c>
      <c r="P1" s="21" t="s">
        <v>8</v>
      </c>
      <c r="Q1" s="32" t="s">
        <v>605</v>
      </c>
      <c r="R1" s="32" t="s">
        <v>606</v>
      </c>
    </row>
    <row r="2" spans="1:18" ht="14.45" x14ac:dyDescent="0.3">
      <c r="A2" s="13">
        <v>2</v>
      </c>
      <c r="B2" s="14">
        <v>82440</v>
      </c>
      <c r="C2" s="14">
        <v>16</v>
      </c>
      <c r="D2" s="15" t="s">
        <v>56</v>
      </c>
      <c r="E2" s="15" t="s">
        <v>15</v>
      </c>
      <c r="F2" s="14">
        <v>4</v>
      </c>
      <c r="G2" s="15" t="s">
        <v>16</v>
      </c>
      <c r="H2" s="15">
        <v>16.89</v>
      </c>
      <c r="I2" s="15">
        <v>17.559999999999999</v>
      </c>
      <c r="J2" s="14">
        <v>34.450000000000003</v>
      </c>
      <c r="K2" s="16">
        <v>0</v>
      </c>
      <c r="N2">
        <f t="shared" ref="N2:N33" si="0">B2</f>
        <v>82440</v>
      </c>
      <c r="O2">
        <f>IF(AND(A2&gt;0,A2&lt;999),IFERROR(VLOOKUP(results0125[[#This Row],[Card]],U14M[],1,FALSE),0),0)</f>
        <v>82440</v>
      </c>
      <c r="P2">
        <f t="shared" ref="P2:P33" si="1">A2</f>
        <v>2</v>
      </c>
      <c r="Q2" s="5">
        <f t="shared" ref="Q2:Q33" si="2">IFERROR(_xlfn.RANK.EQ(H2,$H$2:$H$117,1),999)</f>
        <v>1</v>
      </c>
      <c r="R2" s="5">
        <f t="shared" ref="R2:R33" si="3">IFERROR(_xlfn.RANK.EQ(I2,$I$2:$I$117,1),999)</f>
        <v>7</v>
      </c>
    </row>
    <row r="3" spans="1:18" ht="14.45" x14ac:dyDescent="0.3">
      <c r="A3" s="17">
        <v>1</v>
      </c>
      <c r="B3" s="18">
        <v>78517</v>
      </c>
      <c r="C3" s="18">
        <v>3</v>
      </c>
      <c r="D3" s="19" t="s">
        <v>14</v>
      </c>
      <c r="E3" s="19" t="s">
        <v>15</v>
      </c>
      <c r="F3" s="18">
        <v>4</v>
      </c>
      <c r="G3" s="19" t="s">
        <v>16</v>
      </c>
      <c r="H3" s="19">
        <v>17.28</v>
      </c>
      <c r="I3" s="19">
        <v>17.3</v>
      </c>
      <c r="J3" s="18">
        <v>34.58</v>
      </c>
      <c r="K3" s="20">
        <v>2.72</v>
      </c>
      <c r="N3">
        <f t="shared" si="0"/>
        <v>78517</v>
      </c>
      <c r="O3">
        <f>IF(AND(A3&gt;0,A3&lt;999),IFERROR(VLOOKUP(results0125[[#This Row],[Card]],U14M[],1,FALSE),0),0)</f>
        <v>78517</v>
      </c>
      <c r="P3">
        <f t="shared" si="1"/>
        <v>1</v>
      </c>
      <c r="Q3" s="5">
        <f t="shared" si="2"/>
        <v>6</v>
      </c>
      <c r="R3" s="5">
        <f t="shared" si="3"/>
        <v>4</v>
      </c>
    </row>
    <row r="4" spans="1:18" ht="14.45" x14ac:dyDescent="0.3">
      <c r="A4" s="13">
        <v>4</v>
      </c>
      <c r="B4" s="14">
        <v>80713</v>
      </c>
      <c r="C4" s="14">
        <v>5</v>
      </c>
      <c r="D4" s="15" t="s">
        <v>21</v>
      </c>
      <c r="E4" s="15" t="s">
        <v>22</v>
      </c>
      <c r="F4" s="14">
        <v>4</v>
      </c>
      <c r="G4" s="15" t="s">
        <v>16</v>
      </c>
      <c r="H4" s="15">
        <v>17.53</v>
      </c>
      <c r="I4" s="15">
        <v>17.059999999999999</v>
      </c>
      <c r="J4" s="14">
        <v>34.590000000000003</v>
      </c>
      <c r="K4" s="16">
        <v>2.93</v>
      </c>
      <c r="N4">
        <f t="shared" si="0"/>
        <v>80713</v>
      </c>
      <c r="O4">
        <f>IF(AND(A4&gt;0,A4&lt;999),IFERROR(VLOOKUP(results0125[[#This Row],[Card]],U14M[],1,FALSE),0),0)</f>
        <v>80713</v>
      </c>
      <c r="P4">
        <f t="shared" si="1"/>
        <v>4</v>
      </c>
      <c r="Q4" s="5">
        <f t="shared" si="2"/>
        <v>9</v>
      </c>
      <c r="R4" s="5">
        <f t="shared" si="3"/>
        <v>1</v>
      </c>
    </row>
    <row r="5" spans="1:18" ht="14.45" x14ac:dyDescent="0.3">
      <c r="A5" s="17">
        <v>3</v>
      </c>
      <c r="B5" s="18">
        <v>80698</v>
      </c>
      <c r="C5" s="18">
        <v>10</v>
      </c>
      <c r="D5" s="19" t="s">
        <v>30</v>
      </c>
      <c r="E5" s="19" t="s">
        <v>31</v>
      </c>
      <c r="F5" s="18">
        <v>4</v>
      </c>
      <c r="G5" s="19" t="s">
        <v>16</v>
      </c>
      <c r="H5" s="19">
        <v>17.27</v>
      </c>
      <c r="I5" s="19">
        <v>17.350000000000001</v>
      </c>
      <c r="J5" s="18">
        <v>34.619999999999997</v>
      </c>
      <c r="K5" s="20">
        <v>3.55</v>
      </c>
      <c r="N5">
        <f t="shared" si="0"/>
        <v>80698</v>
      </c>
      <c r="O5">
        <f>IF(AND(A5&gt;0,A5&lt;999),IFERROR(VLOOKUP(results0125[[#This Row],[Card]],U14M[],1,FALSE),0),0)</f>
        <v>80698</v>
      </c>
      <c r="P5">
        <f t="shared" si="1"/>
        <v>3</v>
      </c>
      <c r="Q5" s="5">
        <f t="shared" si="2"/>
        <v>5</v>
      </c>
      <c r="R5" s="5">
        <f t="shared" si="3"/>
        <v>5</v>
      </c>
    </row>
    <row r="6" spans="1:18" ht="14.45" x14ac:dyDescent="0.3">
      <c r="A6" s="13">
        <v>5</v>
      </c>
      <c r="B6" s="14">
        <v>80709</v>
      </c>
      <c r="C6" s="14">
        <v>7</v>
      </c>
      <c r="D6" s="15" t="s">
        <v>24</v>
      </c>
      <c r="E6" s="15" t="s">
        <v>22</v>
      </c>
      <c r="F6" s="14">
        <v>5</v>
      </c>
      <c r="G6" s="15" t="s">
        <v>16</v>
      </c>
      <c r="H6" s="15">
        <v>17.09</v>
      </c>
      <c r="I6" s="15">
        <v>17.57</v>
      </c>
      <c r="J6" s="14">
        <v>34.659999999999997</v>
      </c>
      <c r="K6" s="16">
        <v>4.3899999999999997</v>
      </c>
      <c r="N6">
        <f t="shared" si="0"/>
        <v>80709</v>
      </c>
      <c r="O6">
        <f>IF(AND(A6&gt;0,A6&lt;999),IFERROR(VLOOKUP(results0125[[#This Row],[Card]],U14M[],1,FALSE),0),0)</f>
        <v>80709</v>
      </c>
      <c r="P6">
        <f t="shared" si="1"/>
        <v>5</v>
      </c>
      <c r="Q6" s="5">
        <f t="shared" si="2"/>
        <v>2</v>
      </c>
      <c r="R6" s="5">
        <f t="shared" si="3"/>
        <v>8</v>
      </c>
    </row>
    <row r="7" spans="1:18" ht="14.45" x14ac:dyDescent="0.3">
      <c r="A7" s="17">
        <v>6</v>
      </c>
      <c r="B7" s="18">
        <v>77368</v>
      </c>
      <c r="C7" s="18">
        <v>6</v>
      </c>
      <c r="D7" s="19" t="s">
        <v>35</v>
      </c>
      <c r="E7" s="19" t="s">
        <v>15</v>
      </c>
      <c r="F7" s="18">
        <v>4</v>
      </c>
      <c r="G7" s="19" t="s">
        <v>16</v>
      </c>
      <c r="H7" s="19">
        <v>17.21</v>
      </c>
      <c r="I7" s="19">
        <v>17.489999999999998</v>
      </c>
      <c r="J7" s="18">
        <v>34.700000000000003</v>
      </c>
      <c r="K7" s="20">
        <v>5.22</v>
      </c>
      <c r="N7">
        <f t="shared" si="0"/>
        <v>77368</v>
      </c>
      <c r="O7">
        <f>IF(AND(A7&gt;0,A7&lt;999),IFERROR(VLOOKUP(results0125[[#This Row],[Card]],U14M[],1,FALSE),0),0)</f>
        <v>77368</v>
      </c>
      <c r="P7">
        <f t="shared" si="1"/>
        <v>6</v>
      </c>
      <c r="Q7" s="5">
        <f t="shared" si="2"/>
        <v>4</v>
      </c>
      <c r="R7" s="5">
        <f t="shared" si="3"/>
        <v>6</v>
      </c>
    </row>
    <row r="8" spans="1:18" ht="14.45" x14ac:dyDescent="0.3">
      <c r="A8" s="13">
        <v>7</v>
      </c>
      <c r="B8" s="14">
        <v>80680</v>
      </c>
      <c r="C8" s="14">
        <v>14</v>
      </c>
      <c r="D8" s="15" t="s">
        <v>28</v>
      </c>
      <c r="E8" s="15" t="s">
        <v>15</v>
      </c>
      <c r="F8" s="14">
        <v>4</v>
      </c>
      <c r="G8" s="15" t="s">
        <v>16</v>
      </c>
      <c r="H8" s="15">
        <v>17.18</v>
      </c>
      <c r="I8" s="15">
        <v>17.66</v>
      </c>
      <c r="J8" s="14">
        <v>34.840000000000003</v>
      </c>
      <c r="K8" s="16">
        <v>8.15</v>
      </c>
      <c r="N8">
        <f t="shared" si="0"/>
        <v>80680</v>
      </c>
      <c r="O8">
        <f>IF(AND(A8&gt;0,A8&lt;999),IFERROR(VLOOKUP(results0125[[#This Row],[Card]],U14M[],1,FALSE),0),0)</f>
        <v>80680</v>
      </c>
      <c r="P8">
        <f t="shared" si="1"/>
        <v>7</v>
      </c>
      <c r="Q8" s="5">
        <f t="shared" si="2"/>
        <v>3</v>
      </c>
      <c r="R8" s="5">
        <f t="shared" si="3"/>
        <v>11</v>
      </c>
    </row>
    <row r="9" spans="1:18" ht="14.45" x14ac:dyDescent="0.3">
      <c r="A9" s="17">
        <v>8</v>
      </c>
      <c r="B9" s="18">
        <v>81073</v>
      </c>
      <c r="C9" s="18">
        <v>8</v>
      </c>
      <c r="D9" s="19" t="s">
        <v>40</v>
      </c>
      <c r="E9" s="19" t="s">
        <v>15</v>
      </c>
      <c r="F9" s="18">
        <v>4</v>
      </c>
      <c r="G9" s="19" t="s">
        <v>16</v>
      </c>
      <c r="H9" s="19">
        <v>17.93</v>
      </c>
      <c r="I9" s="19">
        <v>17.100000000000001</v>
      </c>
      <c r="J9" s="18">
        <v>35.03</v>
      </c>
      <c r="K9" s="20">
        <v>12.12</v>
      </c>
      <c r="N9">
        <f t="shared" si="0"/>
        <v>81073</v>
      </c>
      <c r="O9">
        <f>IF(AND(A9&gt;0,A9&lt;999),IFERROR(VLOOKUP(results0125[[#This Row],[Card]],U14M[],1,FALSE),0),0)</f>
        <v>81073</v>
      </c>
      <c r="P9">
        <f t="shared" si="1"/>
        <v>8</v>
      </c>
      <c r="Q9" s="5">
        <f t="shared" si="2"/>
        <v>21</v>
      </c>
      <c r="R9" s="5">
        <f t="shared" si="3"/>
        <v>2</v>
      </c>
    </row>
    <row r="10" spans="1:18" ht="14.45" x14ac:dyDescent="0.3">
      <c r="A10" s="13">
        <v>9</v>
      </c>
      <c r="B10" s="14">
        <v>85883</v>
      </c>
      <c r="C10" s="14">
        <v>87</v>
      </c>
      <c r="D10" s="15" t="s">
        <v>51</v>
      </c>
      <c r="E10" s="15" t="s">
        <v>15</v>
      </c>
      <c r="F10" s="14">
        <v>4</v>
      </c>
      <c r="G10" s="15" t="s">
        <v>16</v>
      </c>
      <c r="H10" s="15">
        <v>17.84</v>
      </c>
      <c r="I10" s="15">
        <v>17.21</v>
      </c>
      <c r="J10" s="14">
        <v>35.049999999999997</v>
      </c>
      <c r="K10" s="16">
        <v>12.54</v>
      </c>
      <c r="N10">
        <f t="shared" si="0"/>
        <v>85883</v>
      </c>
      <c r="O10">
        <f>IF(AND(A10&gt;0,A10&lt;999),IFERROR(VLOOKUP(results0125[[#This Row],[Card]],U14M[],1,FALSE),0),0)</f>
        <v>85883</v>
      </c>
      <c r="P10">
        <f t="shared" si="1"/>
        <v>9</v>
      </c>
      <c r="Q10" s="5">
        <f t="shared" si="2"/>
        <v>16</v>
      </c>
      <c r="R10" s="5">
        <f t="shared" si="3"/>
        <v>3</v>
      </c>
    </row>
    <row r="11" spans="1:18" ht="14.45" x14ac:dyDescent="0.3">
      <c r="A11" s="17">
        <v>10</v>
      </c>
      <c r="B11" s="18">
        <v>78200</v>
      </c>
      <c r="C11" s="18">
        <v>1</v>
      </c>
      <c r="D11" s="19" t="s">
        <v>49</v>
      </c>
      <c r="E11" s="19" t="s">
        <v>31</v>
      </c>
      <c r="F11" s="18">
        <v>5</v>
      </c>
      <c r="G11" s="19" t="s">
        <v>16</v>
      </c>
      <c r="H11" s="19">
        <v>17.61</v>
      </c>
      <c r="I11" s="19">
        <v>17.68</v>
      </c>
      <c r="J11" s="18">
        <v>35.29</v>
      </c>
      <c r="K11" s="20">
        <v>17.559999999999999</v>
      </c>
      <c r="N11">
        <f t="shared" si="0"/>
        <v>78200</v>
      </c>
      <c r="O11">
        <f>IF(AND(A11&gt;0,A11&lt;999),IFERROR(VLOOKUP(results0125[[#This Row],[Card]],U14M[],1,FALSE),0),0)</f>
        <v>78200</v>
      </c>
      <c r="P11">
        <f t="shared" si="1"/>
        <v>10</v>
      </c>
      <c r="Q11" s="5">
        <f t="shared" si="2"/>
        <v>10</v>
      </c>
      <c r="R11" s="5">
        <f t="shared" si="3"/>
        <v>12</v>
      </c>
    </row>
    <row r="12" spans="1:18" ht="14.45" x14ac:dyDescent="0.3">
      <c r="A12" s="13">
        <v>11</v>
      </c>
      <c r="B12" s="14">
        <v>80621</v>
      </c>
      <c r="C12" s="14">
        <v>30</v>
      </c>
      <c r="D12" s="15" t="s">
        <v>18</v>
      </c>
      <c r="E12" s="15" t="s">
        <v>19</v>
      </c>
      <c r="F12" s="14">
        <v>4</v>
      </c>
      <c r="G12" s="15" t="s">
        <v>16</v>
      </c>
      <c r="H12" s="15">
        <v>17.440000000000001</v>
      </c>
      <c r="I12" s="15">
        <v>17.89</v>
      </c>
      <c r="J12" s="14">
        <v>35.33</v>
      </c>
      <c r="K12" s="16">
        <v>18.39</v>
      </c>
      <c r="N12">
        <f t="shared" si="0"/>
        <v>80621</v>
      </c>
      <c r="O12">
        <f>IF(AND(A12&gt;0,A12&lt;999),IFERROR(VLOOKUP(results0125[[#This Row],[Card]],U14M[],1,FALSE),0),0)</f>
        <v>80621</v>
      </c>
      <c r="P12">
        <f t="shared" si="1"/>
        <v>11</v>
      </c>
      <c r="Q12" s="5">
        <f t="shared" si="2"/>
        <v>8</v>
      </c>
      <c r="R12" s="5">
        <f t="shared" si="3"/>
        <v>17</v>
      </c>
    </row>
    <row r="13" spans="1:18" ht="14.45" x14ac:dyDescent="0.3">
      <c r="A13" s="17">
        <v>12</v>
      </c>
      <c r="B13" s="18">
        <v>80717</v>
      </c>
      <c r="C13" s="18">
        <v>17</v>
      </c>
      <c r="D13" s="19" t="s">
        <v>26</v>
      </c>
      <c r="E13" s="19" t="s">
        <v>22</v>
      </c>
      <c r="F13" s="18">
        <v>4</v>
      </c>
      <c r="G13" s="19" t="s">
        <v>16</v>
      </c>
      <c r="H13" s="19">
        <v>17.899999999999999</v>
      </c>
      <c r="I13" s="19">
        <v>17.62</v>
      </c>
      <c r="J13" s="18">
        <v>35.520000000000003</v>
      </c>
      <c r="K13" s="20">
        <v>22.36</v>
      </c>
      <c r="N13">
        <f t="shared" si="0"/>
        <v>80717</v>
      </c>
      <c r="O13">
        <f>IF(AND(A13&gt;0,A13&lt;999),IFERROR(VLOOKUP(results0125[[#This Row],[Card]],U14M[],1,FALSE),0),0)</f>
        <v>80717</v>
      </c>
      <c r="P13">
        <f t="shared" si="1"/>
        <v>12</v>
      </c>
      <c r="Q13" s="5">
        <f t="shared" si="2"/>
        <v>19</v>
      </c>
      <c r="R13" s="5">
        <f t="shared" si="3"/>
        <v>9</v>
      </c>
    </row>
    <row r="14" spans="1:18" ht="14.45" x14ac:dyDescent="0.3">
      <c r="A14" s="13">
        <v>13</v>
      </c>
      <c r="B14" s="14">
        <v>84829</v>
      </c>
      <c r="C14" s="14">
        <v>29</v>
      </c>
      <c r="D14" s="15" t="s">
        <v>68</v>
      </c>
      <c r="E14" s="15" t="s">
        <v>15</v>
      </c>
      <c r="F14" s="14">
        <v>5</v>
      </c>
      <c r="G14" s="15" t="s">
        <v>16</v>
      </c>
      <c r="H14" s="15">
        <v>17.829999999999998</v>
      </c>
      <c r="I14" s="15">
        <v>17.739999999999998</v>
      </c>
      <c r="J14" s="14">
        <v>35.57</v>
      </c>
      <c r="K14" s="16">
        <v>23.41</v>
      </c>
      <c r="N14">
        <f t="shared" si="0"/>
        <v>84829</v>
      </c>
      <c r="O14">
        <f>IF(AND(A14&gt;0,A14&lt;999),IFERROR(VLOOKUP(results0125[[#This Row],[Card]],U14M[],1,FALSE),0),0)</f>
        <v>84829</v>
      </c>
      <c r="P14">
        <f t="shared" si="1"/>
        <v>13</v>
      </c>
      <c r="Q14" s="5">
        <f t="shared" si="2"/>
        <v>15</v>
      </c>
      <c r="R14" s="5">
        <f t="shared" si="3"/>
        <v>13</v>
      </c>
    </row>
    <row r="15" spans="1:18" ht="14.45" x14ac:dyDescent="0.3">
      <c r="A15" s="17">
        <v>14</v>
      </c>
      <c r="B15" s="18">
        <v>81110</v>
      </c>
      <c r="C15" s="18">
        <v>28</v>
      </c>
      <c r="D15" s="19" t="s">
        <v>86</v>
      </c>
      <c r="E15" s="19" t="s">
        <v>22</v>
      </c>
      <c r="F15" s="18">
        <v>5</v>
      </c>
      <c r="G15" s="19" t="s">
        <v>16</v>
      </c>
      <c r="H15" s="19">
        <v>17.920000000000002</v>
      </c>
      <c r="I15" s="19">
        <v>17.8</v>
      </c>
      <c r="J15" s="18">
        <v>35.72</v>
      </c>
      <c r="K15" s="20">
        <v>26.54</v>
      </c>
      <c r="N15">
        <f t="shared" si="0"/>
        <v>81110</v>
      </c>
      <c r="O15">
        <f>IF(AND(A15&gt;0,A15&lt;999),IFERROR(VLOOKUP(results0125[[#This Row],[Card]],U14M[],1,FALSE),0),0)</f>
        <v>81110</v>
      </c>
      <c r="P15">
        <f t="shared" si="1"/>
        <v>14</v>
      </c>
      <c r="Q15" s="5">
        <f t="shared" si="2"/>
        <v>20</v>
      </c>
      <c r="R15" s="5">
        <f t="shared" si="3"/>
        <v>15</v>
      </c>
    </row>
    <row r="16" spans="1:18" ht="14.45" x14ac:dyDescent="0.3">
      <c r="A16" s="13">
        <v>15</v>
      </c>
      <c r="B16" s="14">
        <v>80722</v>
      </c>
      <c r="C16" s="14">
        <v>23</v>
      </c>
      <c r="D16" s="15" t="s">
        <v>33</v>
      </c>
      <c r="E16" s="15" t="s">
        <v>22</v>
      </c>
      <c r="F16" s="14">
        <v>4</v>
      </c>
      <c r="G16" s="15" t="s">
        <v>16</v>
      </c>
      <c r="H16" s="15">
        <v>17.93</v>
      </c>
      <c r="I16" s="15">
        <v>17.82</v>
      </c>
      <c r="J16" s="14">
        <v>35.75</v>
      </c>
      <c r="K16" s="16">
        <v>27.17</v>
      </c>
      <c r="N16">
        <f t="shared" si="0"/>
        <v>80722</v>
      </c>
      <c r="O16">
        <f>IF(AND(A16&gt;0,A16&lt;999),IFERROR(VLOOKUP(results0125[[#This Row],[Card]],U14M[],1,FALSE),0),0)</f>
        <v>80722</v>
      </c>
      <c r="P16">
        <f t="shared" si="1"/>
        <v>15</v>
      </c>
      <c r="Q16" s="5">
        <f t="shared" si="2"/>
        <v>21</v>
      </c>
      <c r="R16" s="5">
        <f t="shared" si="3"/>
        <v>16</v>
      </c>
    </row>
    <row r="17" spans="1:18" ht="14.45" x14ac:dyDescent="0.3">
      <c r="A17" s="17">
        <v>15</v>
      </c>
      <c r="B17" s="18">
        <v>80715</v>
      </c>
      <c r="C17" s="18">
        <v>18</v>
      </c>
      <c r="D17" s="19" t="s">
        <v>65</v>
      </c>
      <c r="E17" s="19" t="s">
        <v>22</v>
      </c>
      <c r="F17" s="18">
        <v>4</v>
      </c>
      <c r="G17" s="19" t="s">
        <v>16</v>
      </c>
      <c r="H17" s="19">
        <v>17.77</v>
      </c>
      <c r="I17" s="19">
        <v>17.98</v>
      </c>
      <c r="J17" s="18">
        <v>35.75</v>
      </c>
      <c r="K17" s="20">
        <v>27.17</v>
      </c>
      <c r="N17">
        <f t="shared" si="0"/>
        <v>80715</v>
      </c>
      <c r="O17">
        <f>IF(AND(A17&gt;0,A17&lt;999),IFERROR(VLOOKUP(results0125[[#This Row],[Card]],U14M[],1,FALSE),0),0)</f>
        <v>80715</v>
      </c>
      <c r="P17">
        <f t="shared" si="1"/>
        <v>15</v>
      </c>
      <c r="Q17" s="5">
        <f t="shared" si="2"/>
        <v>14</v>
      </c>
      <c r="R17" s="5">
        <f t="shared" si="3"/>
        <v>18</v>
      </c>
    </row>
    <row r="18" spans="1:18" ht="14.45" x14ac:dyDescent="0.3">
      <c r="A18" s="13">
        <v>17</v>
      </c>
      <c r="B18" s="14">
        <v>82314</v>
      </c>
      <c r="C18" s="14">
        <v>45</v>
      </c>
      <c r="D18" s="15" t="s">
        <v>78</v>
      </c>
      <c r="E18" s="15" t="s">
        <v>15</v>
      </c>
      <c r="F18" s="14">
        <v>4</v>
      </c>
      <c r="G18" s="15" t="s">
        <v>16</v>
      </c>
      <c r="H18" s="15">
        <v>17.760000000000002</v>
      </c>
      <c r="I18" s="15">
        <v>18</v>
      </c>
      <c r="J18" s="14">
        <v>35.76</v>
      </c>
      <c r="K18" s="16">
        <v>27.38</v>
      </c>
      <c r="N18">
        <f t="shared" si="0"/>
        <v>82314</v>
      </c>
      <c r="O18">
        <f>IF(AND(A18&gt;0,A18&lt;999),IFERROR(VLOOKUP(results0125[[#This Row],[Card]],U14M[],1,FALSE),0),0)</f>
        <v>82314</v>
      </c>
      <c r="P18">
        <f t="shared" si="1"/>
        <v>17</v>
      </c>
      <c r="Q18" s="5">
        <f t="shared" si="2"/>
        <v>12</v>
      </c>
      <c r="R18" s="5">
        <f t="shared" si="3"/>
        <v>19</v>
      </c>
    </row>
    <row r="19" spans="1:18" ht="14.45" x14ac:dyDescent="0.3">
      <c r="A19" s="17">
        <v>18</v>
      </c>
      <c r="B19" s="18">
        <v>80685</v>
      </c>
      <c r="C19" s="18">
        <v>15</v>
      </c>
      <c r="D19" s="19" t="s">
        <v>74</v>
      </c>
      <c r="E19" s="19" t="s">
        <v>15</v>
      </c>
      <c r="F19" s="18">
        <v>4</v>
      </c>
      <c r="G19" s="19" t="s">
        <v>16</v>
      </c>
      <c r="H19" s="19">
        <v>17.98</v>
      </c>
      <c r="I19" s="19">
        <v>17.79</v>
      </c>
      <c r="J19" s="18">
        <v>35.770000000000003</v>
      </c>
      <c r="K19" s="20">
        <v>27.59</v>
      </c>
      <c r="N19">
        <f t="shared" si="0"/>
        <v>80685</v>
      </c>
      <c r="O19">
        <f>IF(AND(A19&gt;0,A19&lt;999),IFERROR(VLOOKUP(results0125[[#This Row],[Card]],U14M[],1,FALSE),0),0)</f>
        <v>80685</v>
      </c>
      <c r="P19">
        <f t="shared" si="1"/>
        <v>18</v>
      </c>
      <c r="Q19" s="5">
        <f t="shared" si="2"/>
        <v>27</v>
      </c>
      <c r="R19" s="5">
        <f t="shared" si="3"/>
        <v>14</v>
      </c>
    </row>
    <row r="20" spans="1:18" ht="14.45" x14ac:dyDescent="0.3">
      <c r="A20" s="13">
        <v>19</v>
      </c>
      <c r="B20" s="14">
        <v>81108</v>
      </c>
      <c r="C20" s="14">
        <v>20</v>
      </c>
      <c r="D20" s="15" t="s">
        <v>44</v>
      </c>
      <c r="E20" s="15" t="s">
        <v>22</v>
      </c>
      <c r="F20" s="14">
        <v>5</v>
      </c>
      <c r="G20" s="15" t="s">
        <v>16</v>
      </c>
      <c r="H20" s="15">
        <v>17.760000000000002</v>
      </c>
      <c r="I20" s="15">
        <v>18.100000000000001</v>
      </c>
      <c r="J20" s="14">
        <v>35.86</v>
      </c>
      <c r="K20" s="16">
        <v>29.47</v>
      </c>
      <c r="N20">
        <f t="shared" si="0"/>
        <v>81108</v>
      </c>
      <c r="O20">
        <f>IF(AND(A20&gt;0,A20&lt;999),IFERROR(VLOOKUP(results0125[[#This Row],[Card]],U14M[],1,FALSE),0),0)</f>
        <v>81108</v>
      </c>
      <c r="P20">
        <f t="shared" si="1"/>
        <v>19</v>
      </c>
      <c r="Q20" s="5">
        <f t="shared" si="2"/>
        <v>12</v>
      </c>
      <c r="R20" s="5">
        <f t="shared" si="3"/>
        <v>24</v>
      </c>
    </row>
    <row r="21" spans="1:18" ht="14.45" x14ac:dyDescent="0.3">
      <c r="A21" s="17">
        <v>20</v>
      </c>
      <c r="B21" s="18">
        <v>75018</v>
      </c>
      <c r="C21" s="18">
        <v>50</v>
      </c>
      <c r="D21" s="19" t="s">
        <v>60</v>
      </c>
      <c r="E21" s="19" t="s">
        <v>61</v>
      </c>
      <c r="F21" s="18">
        <v>4</v>
      </c>
      <c r="G21" s="19" t="s">
        <v>16</v>
      </c>
      <c r="H21" s="19">
        <v>17.86</v>
      </c>
      <c r="I21" s="19">
        <v>18.05</v>
      </c>
      <c r="J21" s="18">
        <v>35.909999999999997</v>
      </c>
      <c r="K21" s="20">
        <v>30.51</v>
      </c>
      <c r="N21">
        <f t="shared" si="0"/>
        <v>75018</v>
      </c>
      <c r="O21">
        <f>IF(AND(A21&gt;0,A21&lt;999),IFERROR(VLOOKUP(results0125[[#This Row],[Card]],U14M[],1,FALSE),0),0)</f>
        <v>75018</v>
      </c>
      <c r="P21">
        <f t="shared" si="1"/>
        <v>20</v>
      </c>
      <c r="Q21" s="5">
        <f t="shared" si="2"/>
        <v>17</v>
      </c>
      <c r="R21" s="5">
        <f t="shared" si="3"/>
        <v>23</v>
      </c>
    </row>
    <row r="22" spans="1:18" ht="14.45" x14ac:dyDescent="0.3">
      <c r="A22" s="13">
        <v>21</v>
      </c>
      <c r="B22" s="14">
        <v>80625</v>
      </c>
      <c r="C22" s="14">
        <v>33</v>
      </c>
      <c r="D22" s="15" t="s">
        <v>76</v>
      </c>
      <c r="E22" s="15" t="s">
        <v>19</v>
      </c>
      <c r="F22" s="14">
        <v>4</v>
      </c>
      <c r="G22" s="15" t="s">
        <v>16</v>
      </c>
      <c r="H22" s="15">
        <v>17.95</v>
      </c>
      <c r="I22" s="15">
        <v>18</v>
      </c>
      <c r="J22" s="14">
        <v>35.950000000000003</v>
      </c>
      <c r="K22" s="16">
        <v>31.35</v>
      </c>
      <c r="N22">
        <f t="shared" si="0"/>
        <v>80625</v>
      </c>
      <c r="O22">
        <f>IF(AND(A22&gt;0,A22&lt;999),IFERROR(VLOOKUP(results0125[[#This Row],[Card]],U14M[],1,FALSE),0),0)</f>
        <v>80625</v>
      </c>
      <c r="P22">
        <f t="shared" si="1"/>
        <v>21</v>
      </c>
      <c r="Q22" s="5">
        <f t="shared" si="2"/>
        <v>23</v>
      </c>
      <c r="R22" s="5">
        <f t="shared" si="3"/>
        <v>19</v>
      </c>
    </row>
    <row r="23" spans="1:18" ht="14.45" x14ac:dyDescent="0.3">
      <c r="A23" s="17">
        <v>21</v>
      </c>
      <c r="B23" s="18">
        <v>80729</v>
      </c>
      <c r="C23" s="18">
        <v>12</v>
      </c>
      <c r="D23" s="19" t="s">
        <v>90</v>
      </c>
      <c r="E23" s="19" t="s">
        <v>22</v>
      </c>
      <c r="F23" s="18">
        <v>4</v>
      </c>
      <c r="G23" s="19" t="s">
        <v>16</v>
      </c>
      <c r="H23" s="19">
        <v>17.75</v>
      </c>
      <c r="I23" s="19">
        <v>18.2</v>
      </c>
      <c r="J23" s="18">
        <v>35.950000000000003</v>
      </c>
      <c r="K23" s="20">
        <v>31.35</v>
      </c>
      <c r="N23">
        <f t="shared" si="0"/>
        <v>80729</v>
      </c>
      <c r="O23">
        <f>IF(AND(A23&gt;0,A23&lt;999),IFERROR(VLOOKUP(results0125[[#This Row],[Card]],U14M[],1,FALSE),0),0)</f>
        <v>80729</v>
      </c>
      <c r="P23">
        <f t="shared" si="1"/>
        <v>21</v>
      </c>
      <c r="Q23" s="5">
        <f t="shared" si="2"/>
        <v>11</v>
      </c>
      <c r="R23" s="5">
        <f t="shared" si="3"/>
        <v>30</v>
      </c>
    </row>
    <row r="24" spans="1:18" ht="14.45" x14ac:dyDescent="0.3">
      <c r="A24" s="13">
        <v>23</v>
      </c>
      <c r="B24" s="14">
        <v>76653</v>
      </c>
      <c r="C24" s="14">
        <v>27</v>
      </c>
      <c r="D24" s="15" t="s">
        <v>37</v>
      </c>
      <c r="E24" s="15" t="s">
        <v>38</v>
      </c>
      <c r="F24" s="14">
        <v>4</v>
      </c>
      <c r="G24" s="15" t="s">
        <v>16</v>
      </c>
      <c r="H24" s="15">
        <v>17.97</v>
      </c>
      <c r="I24" s="15">
        <v>18.03</v>
      </c>
      <c r="J24" s="14">
        <v>36</v>
      </c>
      <c r="K24" s="16">
        <v>32.39</v>
      </c>
      <c r="N24">
        <f t="shared" si="0"/>
        <v>76653</v>
      </c>
      <c r="O24">
        <f>IF(AND(A24&gt;0,A24&lt;999),IFERROR(VLOOKUP(results0125[[#This Row],[Card]],U14M[],1,FALSE),0),0)</f>
        <v>76653</v>
      </c>
      <c r="P24">
        <f t="shared" si="1"/>
        <v>23</v>
      </c>
      <c r="Q24" s="5">
        <f t="shared" si="2"/>
        <v>25</v>
      </c>
      <c r="R24" s="5">
        <f t="shared" si="3"/>
        <v>22</v>
      </c>
    </row>
    <row r="25" spans="1:18" ht="14.45" x14ac:dyDescent="0.3">
      <c r="A25" s="17">
        <v>24</v>
      </c>
      <c r="B25" s="18">
        <v>84763</v>
      </c>
      <c r="C25" s="18">
        <v>60</v>
      </c>
      <c r="D25" s="19" t="s">
        <v>103</v>
      </c>
      <c r="E25" s="19" t="s">
        <v>15</v>
      </c>
      <c r="F25" s="18">
        <v>5</v>
      </c>
      <c r="G25" s="19" t="s">
        <v>16</v>
      </c>
      <c r="H25" s="19">
        <v>18.11</v>
      </c>
      <c r="I25" s="19">
        <v>18.170000000000002</v>
      </c>
      <c r="J25" s="18">
        <v>36.28</v>
      </c>
      <c r="K25" s="20">
        <v>38.25</v>
      </c>
      <c r="N25">
        <f t="shared" si="0"/>
        <v>84763</v>
      </c>
      <c r="O25">
        <f>IF(AND(A25&gt;0,A25&lt;999),IFERROR(VLOOKUP(results0125[[#This Row],[Card]],U14M[],1,FALSE),0),0)</f>
        <v>84763</v>
      </c>
      <c r="P25">
        <f t="shared" si="1"/>
        <v>24</v>
      </c>
      <c r="Q25" s="5">
        <f t="shared" si="2"/>
        <v>31</v>
      </c>
      <c r="R25" s="5">
        <f t="shared" si="3"/>
        <v>27</v>
      </c>
    </row>
    <row r="26" spans="1:18" ht="14.45" x14ac:dyDescent="0.3">
      <c r="A26" s="13">
        <v>25</v>
      </c>
      <c r="B26" s="14">
        <v>82431</v>
      </c>
      <c r="C26" s="14">
        <v>4</v>
      </c>
      <c r="D26" s="15" t="s">
        <v>41</v>
      </c>
      <c r="E26" s="15" t="s">
        <v>42</v>
      </c>
      <c r="F26" s="14">
        <v>4</v>
      </c>
      <c r="G26" s="15" t="s">
        <v>16</v>
      </c>
      <c r="H26" s="15">
        <v>17.86</v>
      </c>
      <c r="I26" s="15">
        <v>18.45</v>
      </c>
      <c r="J26" s="14">
        <v>36.31</v>
      </c>
      <c r="K26" s="16">
        <v>38.869999999999997</v>
      </c>
      <c r="N26">
        <f t="shared" si="0"/>
        <v>82431</v>
      </c>
      <c r="O26">
        <f>IF(AND(A26&gt;0,A26&lt;999),IFERROR(VLOOKUP(results0125[[#This Row],[Card]],U14M[],1,FALSE),0),0)</f>
        <v>82431</v>
      </c>
      <c r="P26">
        <f t="shared" si="1"/>
        <v>25</v>
      </c>
      <c r="Q26" s="5">
        <f t="shared" si="2"/>
        <v>17</v>
      </c>
      <c r="R26" s="5">
        <f t="shared" si="3"/>
        <v>43</v>
      </c>
    </row>
    <row r="27" spans="1:18" ht="14.45" x14ac:dyDescent="0.3">
      <c r="A27" s="17">
        <v>26</v>
      </c>
      <c r="B27" s="18">
        <v>81491</v>
      </c>
      <c r="C27" s="18">
        <v>36</v>
      </c>
      <c r="D27" s="19" t="s">
        <v>105</v>
      </c>
      <c r="E27" s="19" t="s">
        <v>22</v>
      </c>
      <c r="F27" s="18">
        <v>5</v>
      </c>
      <c r="G27" s="19" t="s">
        <v>16</v>
      </c>
      <c r="H27" s="19">
        <v>17.98</v>
      </c>
      <c r="I27" s="19">
        <v>18.36</v>
      </c>
      <c r="J27" s="18">
        <v>36.340000000000003</v>
      </c>
      <c r="K27" s="20">
        <v>39.5</v>
      </c>
      <c r="N27">
        <f t="shared" si="0"/>
        <v>81491</v>
      </c>
      <c r="O27">
        <f>IF(AND(A27&gt;0,A27&lt;999),IFERROR(VLOOKUP(results0125[[#This Row],[Card]],U14M[],1,FALSE),0),0)</f>
        <v>81491</v>
      </c>
      <c r="P27">
        <f t="shared" si="1"/>
        <v>26</v>
      </c>
      <c r="Q27" s="5">
        <f t="shared" si="2"/>
        <v>27</v>
      </c>
      <c r="R27" s="5">
        <f t="shared" si="3"/>
        <v>35</v>
      </c>
    </row>
    <row r="28" spans="1:18" x14ac:dyDescent="0.25">
      <c r="A28" s="13">
        <v>27</v>
      </c>
      <c r="B28" s="14">
        <v>78610</v>
      </c>
      <c r="C28" s="14">
        <v>55</v>
      </c>
      <c r="D28" s="15" t="s">
        <v>133</v>
      </c>
      <c r="E28" s="15" t="s">
        <v>15</v>
      </c>
      <c r="F28" s="14">
        <v>5</v>
      </c>
      <c r="G28" s="15" t="s">
        <v>16</v>
      </c>
      <c r="H28" s="15">
        <v>17.98</v>
      </c>
      <c r="I28" s="15">
        <v>18.399999999999999</v>
      </c>
      <c r="J28" s="14">
        <v>36.380000000000003</v>
      </c>
      <c r="K28" s="16">
        <v>40.340000000000003</v>
      </c>
      <c r="N28">
        <f t="shared" si="0"/>
        <v>78610</v>
      </c>
      <c r="O28">
        <f>IF(AND(A28&gt;0,A28&lt;999),IFERROR(VLOOKUP(results0125[[#This Row],[Card]],U14M[],1,FALSE),0),0)</f>
        <v>78610</v>
      </c>
      <c r="P28">
        <f t="shared" si="1"/>
        <v>27</v>
      </c>
      <c r="Q28" s="5">
        <f t="shared" si="2"/>
        <v>27</v>
      </c>
      <c r="R28" s="5">
        <f t="shared" si="3"/>
        <v>38</v>
      </c>
    </row>
    <row r="29" spans="1:18" x14ac:dyDescent="0.25">
      <c r="A29" s="17">
        <v>28</v>
      </c>
      <c r="B29" s="18">
        <v>86113</v>
      </c>
      <c r="C29" s="18">
        <v>34</v>
      </c>
      <c r="D29" s="19" t="s">
        <v>142</v>
      </c>
      <c r="E29" s="19" t="s">
        <v>101</v>
      </c>
      <c r="F29" s="18">
        <v>5</v>
      </c>
      <c r="G29" s="19" t="s">
        <v>16</v>
      </c>
      <c r="H29" s="19">
        <v>18.16</v>
      </c>
      <c r="I29" s="19">
        <v>18.350000000000001</v>
      </c>
      <c r="J29" s="18">
        <v>36.51</v>
      </c>
      <c r="K29" s="20">
        <v>43.05</v>
      </c>
      <c r="N29">
        <f t="shared" si="0"/>
        <v>86113</v>
      </c>
      <c r="O29">
        <f>IF(AND(A29&gt;0,A29&lt;999),IFERROR(VLOOKUP(results0125[[#This Row],[Card]],U14M[],1,FALSE),0),0)</f>
        <v>86113</v>
      </c>
      <c r="P29">
        <f t="shared" si="1"/>
        <v>28</v>
      </c>
      <c r="Q29" s="5">
        <f t="shared" si="2"/>
        <v>33</v>
      </c>
      <c r="R29" s="5">
        <f t="shared" si="3"/>
        <v>34</v>
      </c>
    </row>
    <row r="30" spans="1:18" x14ac:dyDescent="0.25">
      <c r="A30" s="13">
        <v>29</v>
      </c>
      <c r="B30" s="14">
        <v>82186</v>
      </c>
      <c r="C30" s="14">
        <v>32</v>
      </c>
      <c r="D30" s="15" t="s">
        <v>114</v>
      </c>
      <c r="E30" s="15" t="s">
        <v>15</v>
      </c>
      <c r="F30" s="14">
        <v>4</v>
      </c>
      <c r="G30" s="15" t="s">
        <v>16</v>
      </c>
      <c r="H30" s="15">
        <v>17.97</v>
      </c>
      <c r="I30" s="15">
        <v>18.55</v>
      </c>
      <c r="J30" s="14">
        <v>36.520000000000003</v>
      </c>
      <c r="K30" s="16">
        <v>43.26</v>
      </c>
      <c r="N30">
        <f t="shared" si="0"/>
        <v>82186</v>
      </c>
      <c r="O30">
        <f>IF(AND(A30&gt;0,A30&lt;999),IFERROR(VLOOKUP(results0125[[#This Row],[Card]],U14M[],1,FALSE),0),0)</f>
        <v>82186</v>
      </c>
      <c r="P30">
        <f t="shared" si="1"/>
        <v>29</v>
      </c>
      <c r="Q30" s="5">
        <f t="shared" si="2"/>
        <v>25</v>
      </c>
      <c r="R30" s="5">
        <f t="shared" si="3"/>
        <v>45</v>
      </c>
    </row>
    <row r="31" spans="1:18" x14ac:dyDescent="0.25">
      <c r="A31" s="17">
        <v>30</v>
      </c>
      <c r="B31" s="18">
        <v>81705</v>
      </c>
      <c r="C31" s="18">
        <v>76</v>
      </c>
      <c r="D31" s="19" t="s">
        <v>165</v>
      </c>
      <c r="E31" s="19" t="s">
        <v>31</v>
      </c>
      <c r="F31" s="18">
        <v>4</v>
      </c>
      <c r="G31" s="19" t="s">
        <v>16</v>
      </c>
      <c r="H31" s="19">
        <v>18.21</v>
      </c>
      <c r="I31" s="19">
        <v>18.38</v>
      </c>
      <c r="J31" s="18">
        <v>36.590000000000003</v>
      </c>
      <c r="K31" s="20">
        <v>44.73</v>
      </c>
      <c r="N31">
        <f t="shared" si="0"/>
        <v>81705</v>
      </c>
      <c r="O31">
        <f>IF(AND(A31&gt;0,A31&lt;999),IFERROR(VLOOKUP(results0125[[#This Row],[Card]],U14M[],1,FALSE),0),0)</f>
        <v>81705</v>
      </c>
      <c r="P31">
        <f t="shared" si="1"/>
        <v>30</v>
      </c>
      <c r="Q31" s="5">
        <f t="shared" si="2"/>
        <v>35</v>
      </c>
      <c r="R31" s="5">
        <f t="shared" si="3"/>
        <v>36</v>
      </c>
    </row>
    <row r="32" spans="1:18" x14ac:dyDescent="0.25">
      <c r="A32" s="13">
        <v>31</v>
      </c>
      <c r="B32" s="14">
        <v>78619</v>
      </c>
      <c r="C32" s="14">
        <v>48</v>
      </c>
      <c r="D32" s="15" t="s">
        <v>121</v>
      </c>
      <c r="E32" s="15" t="s">
        <v>61</v>
      </c>
      <c r="F32" s="14">
        <v>4</v>
      </c>
      <c r="G32" s="15" t="s">
        <v>16</v>
      </c>
      <c r="H32" s="15">
        <v>18.18</v>
      </c>
      <c r="I32" s="15">
        <v>18.420000000000002</v>
      </c>
      <c r="J32" s="14">
        <v>36.6</v>
      </c>
      <c r="K32" s="16">
        <v>44.93</v>
      </c>
      <c r="N32">
        <f t="shared" si="0"/>
        <v>78619</v>
      </c>
      <c r="O32">
        <f>IF(AND(A32&gt;0,A32&lt;999),IFERROR(VLOOKUP(results0125[[#This Row],[Card]],U14M[],1,FALSE),0),0)</f>
        <v>78619</v>
      </c>
      <c r="P32">
        <f t="shared" si="1"/>
        <v>31</v>
      </c>
      <c r="Q32" s="5">
        <f t="shared" si="2"/>
        <v>34</v>
      </c>
      <c r="R32" s="5">
        <f t="shared" si="3"/>
        <v>40</v>
      </c>
    </row>
    <row r="33" spans="1:18" x14ac:dyDescent="0.25">
      <c r="A33" s="17">
        <v>32</v>
      </c>
      <c r="B33" s="18">
        <v>85772</v>
      </c>
      <c r="C33" s="18">
        <v>70</v>
      </c>
      <c r="D33" s="19" t="s">
        <v>196</v>
      </c>
      <c r="E33" s="19" t="s">
        <v>15</v>
      </c>
      <c r="F33" s="18">
        <v>5</v>
      </c>
      <c r="G33" s="19" t="s">
        <v>16</v>
      </c>
      <c r="H33" s="19">
        <v>18.309999999999999</v>
      </c>
      <c r="I33" s="19">
        <v>18.329999999999998</v>
      </c>
      <c r="J33" s="18">
        <v>36.64</v>
      </c>
      <c r="K33" s="20">
        <v>45.77</v>
      </c>
      <c r="N33">
        <f t="shared" si="0"/>
        <v>85772</v>
      </c>
      <c r="O33">
        <f>IF(AND(A33&gt;0,A33&lt;999),IFERROR(VLOOKUP(results0125[[#This Row],[Card]],U14M[],1,FALSE),0),0)</f>
        <v>85772</v>
      </c>
      <c r="P33">
        <f t="shared" si="1"/>
        <v>32</v>
      </c>
      <c r="Q33" s="5">
        <f t="shared" si="2"/>
        <v>37</v>
      </c>
      <c r="R33" s="5">
        <f t="shared" si="3"/>
        <v>32</v>
      </c>
    </row>
    <row r="34" spans="1:18" x14ac:dyDescent="0.25">
      <c r="A34" s="13">
        <v>33</v>
      </c>
      <c r="B34" s="14">
        <v>81459</v>
      </c>
      <c r="C34" s="14">
        <v>116</v>
      </c>
      <c r="D34" s="15" t="s">
        <v>225</v>
      </c>
      <c r="E34" s="15" t="s">
        <v>101</v>
      </c>
      <c r="F34" s="14">
        <v>5</v>
      </c>
      <c r="G34" s="15" t="s">
        <v>16</v>
      </c>
      <c r="H34" s="15">
        <v>18.7</v>
      </c>
      <c r="I34" s="15">
        <v>18.010000000000002</v>
      </c>
      <c r="J34" s="14">
        <v>36.71</v>
      </c>
      <c r="K34" s="16">
        <v>47.23</v>
      </c>
      <c r="N34">
        <f t="shared" ref="N34:N65" si="4">B34</f>
        <v>81459</v>
      </c>
      <c r="O34">
        <f>IF(AND(A34&gt;0,A34&lt;999),IFERROR(VLOOKUP(results0125[[#This Row],[Card]],U14M[],1,FALSE),0),0)</f>
        <v>81459</v>
      </c>
      <c r="P34">
        <f t="shared" ref="P34:P65" si="5">A34</f>
        <v>33</v>
      </c>
      <c r="Q34" s="5">
        <f t="shared" ref="Q34:Q65" si="6">IFERROR(_xlfn.RANK.EQ(H34,$H$2:$H$117,1),999)</f>
        <v>49</v>
      </c>
      <c r="R34" s="5">
        <f t="shared" ref="R34:R65" si="7">IFERROR(_xlfn.RANK.EQ(I34,$I$2:$I$117,1),999)</f>
        <v>21</v>
      </c>
    </row>
    <row r="35" spans="1:18" x14ac:dyDescent="0.25">
      <c r="A35" s="17">
        <v>34</v>
      </c>
      <c r="B35" s="18">
        <v>78276</v>
      </c>
      <c r="C35" s="18">
        <v>46</v>
      </c>
      <c r="D35" s="19" t="s">
        <v>92</v>
      </c>
      <c r="E35" s="19" t="s">
        <v>31</v>
      </c>
      <c r="F35" s="18">
        <v>4</v>
      </c>
      <c r="G35" s="19" t="s">
        <v>16</v>
      </c>
      <c r="H35" s="19">
        <v>18.149999999999999</v>
      </c>
      <c r="I35" s="19">
        <v>18.600000000000001</v>
      </c>
      <c r="J35" s="18">
        <v>36.75</v>
      </c>
      <c r="K35" s="20">
        <v>48.07</v>
      </c>
      <c r="N35">
        <f t="shared" si="4"/>
        <v>78276</v>
      </c>
      <c r="O35">
        <f>IF(AND(A35&gt;0,A35&lt;999),IFERROR(VLOOKUP(results0125[[#This Row],[Card]],U14M[],1,FALSE),0),0)</f>
        <v>78276</v>
      </c>
      <c r="P35">
        <f t="shared" si="5"/>
        <v>34</v>
      </c>
      <c r="Q35" s="5">
        <f t="shared" si="6"/>
        <v>32</v>
      </c>
      <c r="R35" s="5">
        <f t="shared" si="7"/>
        <v>48</v>
      </c>
    </row>
    <row r="36" spans="1:18" x14ac:dyDescent="0.25">
      <c r="A36" s="13">
        <v>35</v>
      </c>
      <c r="B36" s="14">
        <v>80629</v>
      </c>
      <c r="C36" s="14">
        <v>51</v>
      </c>
      <c r="D36" s="15" t="s">
        <v>144</v>
      </c>
      <c r="E36" s="15" t="s">
        <v>19</v>
      </c>
      <c r="F36" s="14">
        <v>5</v>
      </c>
      <c r="G36" s="15" t="s">
        <v>16</v>
      </c>
      <c r="H36" s="15">
        <v>18.45</v>
      </c>
      <c r="I36" s="15">
        <v>18.329999999999998</v>
      </c>
      <c r="J36" s="14">
        <v>36.78</v>
      </c>
      <c r="K36" s="16">
        <v>48.7</v>
      </c>
      <c r="N36">
        <f t="shared" si="4"/>
        <v>80629</v>
      </c>
      <c r="O36">
        <f>IF(AND(A36&gt;0,A36&lt;999),IFERROR(VLOOKUP(results0125[[#This Row],[Card]],U14M[],1,FALSE),0),0)</f>
        <v>80629</v>
      </c>
      <c r="P36">
        <f t="shared" si="5"/>
        <v>35</v>
      </c>
      <c r="Q36" s="5">
        <f t="shared" si="6"/>
        <v>43</v>
      </c>
      <c r="R36" s="5">
        <f t="shared" si="7"/>
        <v>32</v>
      </c>
    </row>
    <row r="37" spans="1:18" x14ac:dyDescent="0.25">
      <c r="A37" s="17">
        <v>36</v>
      </c>
      <c r="B37" s="18">
        <v>78680</v>
      </c>
      <c r="C37" s="18">
        <v>64</v>
      </c>
      <c r="D37" s="19" t="s">
        <v>127</v>
      </c>
      <c r="E37" s="19" t="s">
        <v>22</v>
      </c>
      <c r="F37" s="18">
        <v>5</v>
      </c>
      <c r="G37" s="19" t="s">
        <v>16</v>
      </c>
      <c r="H37" s="19">
        <v>18.3</v>
      </c>
      <c r="I37" s="19">
        <v>18.559999999999999</v>
      </c>
      <c r="J37" s="18">
        <v>36.86</v>
      </c>
      <c r="K37" s="20">
        <v>50.37</v>
      </c>
      <c r="N37">
        <f t="shared" si="4"/>
        <v>78680</v>
      </c>
      <c r="O37">
        <f>IF(AND(A37&gt;0,A37&lt;999),IFERROR(VLOOKUP(results0125[[#This Row],[Card]],U14M[],1,FALSE),0),0)</f>
        <v>78680</v>
      </c>
      <c r="P37">
        <f t="shared" si="5"/>
        <v>36</v>
      </c>
      <c r="Q37" s="5">
        <f t="shared" si="6"/>
        <v>36</v>
      </c>
      <c r="R37" s="5">
        <f t="shared" si="7"/>
        <v>46</v>
      </c>
    </row>
    <row r="38" spans="1:18" x14ac:dyDescent="0.25">
      <c r="A38" s="13">
        <v>37</v>
      </c>
      <c r="B38" s="14">
        <v>80690</v>
      </c>
      <c r="C38" s="14">
        <v>71</v>
      </c>
      <c r="D38" s="15" t="s">
        <v>148</v>
      </c>
      <c r="E38" s="15" t="s">
        <v>31</v>
      </c>
      <c r="F38" s="14">
        <v>5</v>
      </c>
      <c r="G38" s="15" t="s">
        <v>16</v>
      </c>
      <c r="H38" s="15">
        <v>18.489999999999998</v>
      </c>
      <c r="I38" s="15">
        <v>18.43</v>
      </c>
      <c r="J38" s="14">
        <v>36.92</v>
      </c>
      <c r="K38" s="16">
        <v>51.62</v>
      </c>
      <c r="N38">
        <f t="shared" si="4"/>
        <v>80690</v>
      </c>
      <c r="O38">
        <f>IF(AND(A38&gt;0,A38&lt;999),IFERROR(VLOOKUP(results0125[[#This Row],[Card]],U14M[],1,FALSE),0),0)</f>
        <v>80690</v>
      </c>
      <c r="P38">
        <f t="shared" si="5"/>
        <v>37</v>
      </c>
      <c r="Q38" s="5">
        <f t="shared" si="6"/>
        <v>46</v>
      </c>
      <c r="R38" s="5">
        <f t="shared" si="7"/>
        <v>41</v>
      </c>
    </row>
    <row r="39" spans="1:18" x14ac:dyDescent="0.25">
      <c r="A39" s="17">
        <v>38</v>
      </c>
      <c r="B39" s="18">
        <v>74564</v>
      </c>
      <c r="C39" s="18">
        <v>107</v>
      </c>
      <c r="D39" s="19" t="s">
        <v>100</v>
      </c>
      <c r="E39" s="19" t="s">
        <v>101</v>
      </c>
      <c r="F39" s="18">
        <v>5</v>
      </c>
      <c r="G39" s="19" t="s">
        <v>16</v>
      </c>
      <c r="H39" s="19">
        <v>18.670000000000002</v>
      </c>
      <c r="I39" s="19">
        <v>18.28</v>
      </c>
      <c r="J39" s="18">
        <v>36.950000000000003</v>
      </c>
      <c r="K39" s="20">
        <v>52.25</v>
      </c>
      <c r="N39">
        <f t="shared" si="4"/>
        <v>74564</v>
      </c>
      <c r="O39">
        <f>IF(AND(A39&gt;0,A39&lt;999),IFERROR(VLOOKUP(results0125[[#This Row],[Card]],U14M[],1,FALSE),0),0)</f>
        <v>74564</v>
      </c>
      <c r="P39">
        <f t="shared" si="5"/>
        <v>38</v>
      </c>
      <c r="Q39" s="5">
        <f t="shared" si="6"/>
        <v>48</v>
      </c>
      <c r="R39" s="5">
        <f t="shared" si="7"/>
        <v>31</v>
      </c>
    </row>
    <row r="40" spans="1:18" x14ac:dyDescent="0.25">
      <c r="A40" s="13">
        <v>39</v>
      </c>
      <c r="B40" s="14">
        <v>80618</v>
      </c>
      <c r="C40" s="14">
        <v>75</v>
      </c>
      <c r="D40" s="15" t="s">
        <v>123</v>
      </c>
      <c r="E40" s="15" t="s">
        <v>19</v>
      </c>
      <c r="F40" s="14">
        <v>4</v>
      </c>
      <c r="G40" s="15" t="s">
        <v>16</v>
      </c>
      <c r="H40" s="15">
        <v>18.440000000000001</v>
      </c>
      <c r="I40" s="15">
        <v>18.7</v>
      </c>
      <c r="J40" s="14">
        <v>37.14</v>
      </c>
      <c r="K40" s="16">
        <v>56.22</v>
      </c>
      <c r="N40">
        <f t="shared" si="4"/>
        <v>80618</v>
      </c>
      <c r="O40">
        <f>IF(AND(A40&gt;0,A40&lt;999),IFERROR(VLOOKUP(results0125[[#This Row],[Card]],U14M[],1,FALSE),0),0)</f>
        <v>80618</v>
      </c>
      <c r="P40">
        <f t="shared" si="5"/>
        <v>39</v>
      </c>
      <c r="Q40" s="5">
        <f t="shared" si="6"/>
        <v>42</v>
      </c>
      <c r="R40" s="5">
        <f t="shared" si="7"/>
        <v>52</v>
      </c>
    </row>
    <row r="41" spans="1:18" x14ac:dyDescent="0.25">
      <c r="A41" s="17">
        <v>40</v>
      </c>
      <c r="B41" s="18">
        <v>80828</v>
      </c>
      <c r="C41" s="18">
        <v>52</v>
      </c>
      <c r="D41" s="19" t="s">
        <v>88</v>
      </c>
      <c r="E41" s="19" t="s">
        <v>54</v>
      </c>
      <c r="F41" s="18">
        <v>5</v>
      </c>
      <c r="G41" s="19" t="s">
        <v>16</v>
      </c>
      <c r="H41" s="19">
        <v>18.57</v>
      </c>
      <c r="I41" s="19">
        <v>18.579999999999998</v>
      </c>
      <c r="J41" s="18">
        <v>37.15</v>
      </c>
      <c r="K41" s="20">
        <v>56.43</v>
      </c>
      <c r="N41">
        <f t="shared" si="4"/>
        <v>80828</v>
      </c>
      <c r="O41">
        <f>IF(AND(A41&gt;0,A41&lt;999),IFERROR(VLOOKUP(results0125[[#This Row],[Card]],U14M[],1,FALSE),0),0)</f>
        <v>80828</v>
      </c>
      <c r="P41">
        <f t="shared" si="5"/>
        <v>40</v>
      </c>
      <c r="Q41" s="5">
        <f t="shared" si="6"/>
        <v>47</v>
      </c>
      <c r="R41" s="5">
        <f t="shared" si="7"/>
        <v>47</v>
      </c>
    </row>
    <row r="42" spans="1:18" x14ac:dyDescent="0.25">
      <c r="A42" s="13">
        <v>41</v>
      </c>
      <c r="B42" s="14">
        <v>78398</v>
      </c>
      <c r="C42" s="14">
        <v>69</v>
      </c>
      <c r="D42" s="15" t="s">
        <v>156</v>
      </c>
      <c r="E42" s="15" t="s">
        <v>19</v>
      </c>
      <c r="F42" s="14">
        <v>4</v>
      </c>
      <c r="G42" s="15" t="s">
        <v>16</v>
      </c>
      <c r="H42" s="15">
        <v>18.48</v>
      </c>
      <c r="I42" s="15">
        <v>18.72</v>
      </c>
      <c r="J42" s="14">
        <v>37.200000000000003</v>
      </c>
      <c r="K42" s="16">
        <v>57.47</v>
      </c>
      <c r="N42">
        <f t="shared" si="4"/>
        <v>78398</v>
      </c>
      <c r="O42">
        <f>IF(AND(A42&gt;0,A42&lt;999),IFERROR(VLOOKUP(results0125[[#This Row],[Card]],U14M[],1,FALSE),0),0)</f>
        <v>78398</v>
      </c>
      <c r="P42">
        <f t="shared" si="5"/>
        <v>41</v>
      </c>
      <c r="Q42" s="5">
        <f t="shared" si="6"/>
        <v>45</v>
      </c>
      <c r="R42" s="5">
        <f t="shared" si="7"/>
        <v>53</v>
      </c>
    </row>
    <row r="43" spans="1:18" x14ac:dyDescent="0.25">
      <c r="A43" s="17">
        <v>42</v>
      </c>
      <c r="B43" s="18">
        <v>80700</v>
      </c>
      <c r="C43" s="18">
        <v>80</v>
      </c>
      <c r="D43" s="19" t="s">
        <v>192</v>
      </c>
      <c r="E43" s="19" t="s">
        <v>31</v>
      </c>
      <c r="F43" s="18">
        <v>4</v>
      </c>
      <c r="G43" s="19" t="s">
        <v>16</v>
      </c>
      <c r="H43" s="19">
        <v>18.41</v>
      </c>
      <c r="I43" s="19">
        <v>18.829999999999998</v>
      </c>
      <c r="J43" s="18">
        <v>37.24</v>
      </c>
      <c r="K43" s="20">
        <v>58.31</v>
      </c>
      <c r="N43">
        <f t="shared" si="4"/>
        <v>80700</v>
      </c>
      <c r="O43">
        <f>IF(AND(A43&gt;0,A43&lt;999),IFERROR(VLOOKUP(results0125[[#This Row],[Card]],U14M[],1,FALSE),0),0)</f>
        <v>80700</v>
      </c>
      <c r="P43">
        <f t="shared" si="5"/>
        <v>42</v>
      </c>
      <c r="Q43" s="5">
        <f t="shared" si="6"/>
        <v>39</v>
      </c>
      <c r="R43" s="5">
        <f t="shared" si="7"/>
        <v>57</v>
      </c>
    </row>
    <row r="44" spans="1:18" x14ac:dyDescent="0.25">
      <c r="A44" s="13">
        <v>43</v>
      </c>
      <c r="B44" s="14">
        <v>80718</v>
      </c>
      <c r="C44" s="14">
        <v>40</v>
      </c>
      <c r="D44" s="15" t="s">
        <v>94</v>
      </c>
      <c r="E44" s="15" t="s">
        <v>22</v>
      </c>
      <c r="F44" s="14">
        <v>4</v>
      </c>
      <c r="G44" s="15" t="s">
        <v>16</v>
      </c>
      <c r="H44" s="15">
        <v>18.46</v>
      </c>
      <c r="I44" s="15">
        <v>18.79</v>
      </c>
      <c r="J44" s="14">
        <v>37.25</v>
      </c>
      <c r="K44" s="16">
        <v>58.52</v>
      </c>
      <c r="N44">
        <f t="shared" si="4"/>
        <v>80718</v>
      </c>
      <c r="O44">
        <f>IF(AND(A44&gt;0,A44&lt;999),IFERROR(VLOOKUP(results0125[[#This Row],[Card]],U14M[],1,FALSE),0),0)</f>
        <v>80718</v>
      </c>
      <c r="P44">
        <f t="shared" si="5"/>
        <v>43</v>
      </c>
      <c r="Q44" s="5">
        <f t="shared" si="6"/>
        <v>44</v>
      </c>
      <c r="R44" s="5">
        <f t="shared" si="7"/>
        <v>56</v>
      </c>
    </row>
    <row r="45" spans="1:18" x14ac:dyDescent="0.25">
      <c r="A45" s="17">
        <v>44</v>
      </c>
      <c r="B45" s="18">
        <v>82328</v>
      </c>
      <c r="C45" s="18">
        <v>49</v>
      </c>
      <c r="D45" s="19" t="s">
        <v>137</v>
      </c>
      <c r="E45" s="19" t="s">
        <v>15</v>
      </c>
      <c r="F45" s="18">
        <v>4</v>
      </c>
      <c r="G45" s="19" t="s">
        <v>16</v>
      </c>
      <c r="H45" s="19">
        <v>18.34</v>
      </c>
      <c r="I45" s="19">
        <v>18.93</v>
      </c>
      <c r="J45" s="18">
        <v>37.270000000000003</v>
      </c>
      <c r="K45" s="20">
        <v>58.94</v>
      </c>
      <c r="N45">
        <f t="shared" si="4"/>
        <v>82328</v>
      </c>
      <c r="O45">
        <f>IF(AND(A45&gt;0,A45&lt;999),IFERROR(VLOOKUP(results0125[[#This Row],[Card]],U14M[],1,FALSE),0),0)</f>
        <v>82328</v>
      </c>
      <c r="P45">
        <f t="shared" si="5"/>
        <v>44</v>
      </c>
      <c r="Q45" s="5">
        <f t="shared" si="6"/>
        <v>38</v>
      </c>
      <c r="R45" s="5">
        <f t="shared" si="7"/>
        <v>61</v>
      </c>
    </row>
    <row r="46" spans="1:18" x14ac:dyDescent="0.25">
      <c r="A46" s="13">
        <v>45</v>
      </c>
      <c r="B46" s="14">
        <v>76864</v>
      </c>
      <c r="C46" s="14">
        <v>74</v>
      </c>
      <c r="D46" s="15" t="s">
        <v>107</v>
      </c>
      <c r="E46" s="15" t="s">
        <v>38</v>
      </c>
      <c r="F46" s="14">
        <v>4</v>
      </c>
      <c r="G46" s="15" t="s">
        <v>16</v>
      </c>
      <c r="H46" s="15">
        <v>18.41</v>
      </c>
      <c r="I46" s="15">
        <v>18.89</v>
      </c>
      <c r="J46" s="14">
        <v>37.299999999999997</v>
      </c>
      <c r="K46" s="16">
        <v>59.56</v>
      </c>
      <c r="N46">
        <f t="shared" si="4"/>
        <v>76864</v>
      </c>
      <c r="O46">
        <f>IF(AND(A46&gt;0,A46&lt;999),IFERROR(VLOOKUP(results0125[[#This Row],[Card]],U14M[],1,FALSE),0),0)</f>
        <v>76864</v>
      </c>
      <c r="P46">
        <f t="shared" si="5"/>
        <v>45</v>
      </c>
      <c r="Q46" s="5">
        <f t="shared" si="6"/>
        <v>39</v>
      </c>
      <c r="R46" s="5">
        <f t="shared" si="7"/>
        <v>59</v>
      </c>
    </row>
    <row r="47" spans="1:18" x14ac:dyDescent="0.25">
      <c r="A47" s="17">
        <v>46</v>
      </c>
      <c r="B47" s="18">
        <v>76572</v>
      </c>
      <c r="C47" s="18">
        <v>61</v>
      </c>
      <c r="D47" s="19" t="s">
        <v>109</v>
      </c>
      <c r="E47" s="19" t="s">
        <v>38</v>
      </c>
      <c r="F47" s="18">
        <v>4</v>
      </c>
      <c r="G47" s="19" t="s">
        <v>16</v>
      </c>
      <c r="H47" s="19">
        <v>18.43</v>
      </c>
      <c r="I47" s="19">
        <v>18.93</v>
      </c>
      <c r="J47" s="18">
        <v>37.36</v>
      </c>
      <c r="K47" s="20">
        <v>60.82</v>
      </c>
      <c r="N47">
        <f t="shared" si="4"/>
        <v>76572</v>
      </c>
      <c r="O47">
        <f>IF(AND(A47&gt;0,A47&lt;999),IFERROR(VLOOKUP(results0125[[#This Row],[Card]],U14M[],1,FALSE),0),0)</f>
        <v>76572</v>
      </c>
      <c r="P47">
        <f t="shared" si="5"/>
        <v>46</v>
      </c>
      <c r="Q47" s="5">
        <f t="shared" si="6"/>
        <v>41</v>
      </c>
      <c r="R47" s="5">
        <f t="shared" si="7"/>
        <v>61</v>
      </c>
    </row>
    <row r="48" spans="1:18" x14ac:dyDescent="0.25">
      <c r="A48" s="13">
        <v>47</v>
      </c>
      <c r="B48" s="14">
        <v>78165</v>
      </c>
      <c r="C48" s="14">
        <v>57</v>
      </c>
      <c r="D48" s="15" t="s">
        <v>119</v>
      </c>
      <c r="E48" s="15" t="s">
        <v>61</v>
      </c>
      <c r="F48" s="14">
        <v>4</v>
      </c>
      <c r="G48" s="15" t="s">
        <v>16</v>
      </c>
      <c r="H48" s="15">
        <v>18.760000000000002</v>
      </c>
      <c r="I48" s="15">
        <v>18.62</v>
      </c>
      <c r="J48" s="14">
        <v>37.380000000000003</v>
      </c>
      <c r="K48" s="16">
        <v>61.24</v>
      </c>
      <c r="N48">
        <f t="shared" si="4"/>
        <v>78165</v>
      </c>
      <c r="O48">
        <f>IF(AND(A48&gt;0,A48&lt;999),IFERROR(VLOOKUP(results0125[[#This Row],[Card]],U14M[],1,FALSE),0),0)</f>
        <v>78165</v>
      </c>
      <c r="P48">
        <f t="shared" si="5"/>
        <v>47</v>
      </c>
      <c r="Q48" s="5">
        <f t="shared" si="6"/>
        <v>50</v>
      </c>
      <c r="R48" s="5">
        <f t="shared" si="7"/>
        <v>49</v>
      </c>
    </row>
    <row r="49" spans="1:18" x14ac:dyDescent="0.25">
      <c r="A49" s="17">
        <v>48</v>
      </c>
      <c r="B49" s="18">
        <v>80714</v>
      </c>
      <c r="C49" s="18">
        <v>56</v>
      </c>
      <c r="D49" s="19" t="s">
        <v>152</v>
      </c>
      <c r="E49" s="19" t="s">
        <v>22</v>
      </c>
      <c r="F49" s="18">
        <v>5</v>
      </c>
      <c r="G49" s="19" t="s">
        <v>16</v>
      </c>
      <c r="H49" s="19">
        <v>18.78</v>
      </c>
      <c r="I49" s="19">
        <v>18.760000000000002</v>
      </c>
      <c r="J49" s="18">
        <v>37.54</v>
      </c>
      <c r="K49" s="20">
        <v>64.58</v>
      </c>
      <c r="N49">
        <f t="shared" si="4"/>
        <v>80714</v>
      </c>
      <c r="O49">
        <f>IF(AND(A49&gt;0,A49&lt;999),IFERROR(VLOOKUP(results0125[[#This Row],[Card]],U14M[],1,FALSE),0),0)</f>
        <v>80714</v>
      </c>
      <c r="P49">
        <f t="shared" si="5"/>
        <v>48</v>
      </c>
      <c r="Q49" s="5">
        <f t="shared" si="6"/>
        <v>51</v>
      </c>
      <c r="R49" s="5">
        <f t="shared" si="7"/>
        <v>55</v>
      </c>
    </row>
    <row r="50" spans="1:18" x14ac:dyDescent="0.25">
      <c r="A50" s="13">
        <v>49</v>
      </c>
      <c r="B50" s="14">
        <v>80682</v>
      </c>
      <c r="C50" s="14">
        <v>90</v>
      </c>
      <c r="D50" s="15" t="s">
        <v>135</v>
      </c>
      <c r="E50" s="15" t="s">
        <v>15</v>
      </c>
      <c r="F50" s="14">
        <v>4</v>
      </c>
      <c r="G50" s="15" t="s">
        <v>16</v>
      </c>
      <c r="H50" s="15">
        <v>19.04</v>
      </c>
      <c r="I50" s="15">
        <v>18.72</v>
      </c>
      <c r="J50" s="14">
        <v>37.76</v>
      </c>
      <c r="K50" s="16">
        <v>69.180000000000007</v>
      </c>
      <c r="N50">
        <f t="shared" si="4"/>
        <v>80682</v>
      </c>
      <c r="O50">
        <f>IF(AND(A50&gt;0,A50&lt;999),IFERROR(VLOOKUP(results0125[[#This Row],[Card]],U14M[],1,FALSE),0),0)</f>
        <v>80682</v>
      </c>
      <c r="P50">
        <f t="shared" si="5"/>
        <v>49</v>
      </c>
      <c r="Q50" s="5">
        <f t="shared" si="6"/>
        <v>63</v>
      </c>
      <c r="R50" s="5">
        <f t="shared" si="7"/>
        <v>53</v>
      </c>
    </row>
    <row r="51" spans="1:18" x14ac:dyDescent="0.25">
      <c r="A51" s="17">
        <v>50</v>
      </c>
      <c r="B51" s="18">
        <v>80724</v>
      </c>
      <c r="C51" s="18">
        <v>62</v>
      </c>
      <c r="D51" s="19" t="s">
        <v>167</v>
      </c>
      <c r="E51" s="19" t="s">
        <v>22</v>
      </c>
      <c r="F51" s="18">
        <v>4</v>
      </c>
      <c r="G51" s="19" t="s">
        <v>16</v>
      </c>
      <c r="H51" s="19">
        <v>18.97</v>
      </c>
      <c r="I51" s="19">
        <v>18.829999999999998</v>
      </c>
      <c r="J51" s="18">
        <v>37.799999999999997</v>
      </c>
      <c r="K51" s="20">
        <v>70.010000000000005</v>
      </c>
      <c r="N51">
        <f t="shared" si="4"/>
        <v>80724</v>
      </c>
      <c r="O51">
        <f>IF(AND(A51&gt;0,A51&lt;999),IFERROR(VLOOKUP(results0125[[#This Row],[Card]],U14M[],1,FALSE),0),0)</f>
        <v>80724</v>
      </c>
      <c r="P51">
        <f t="shared" si="5"/>
        <v>50</v>
      </c>
      <c r="Q51" s="5">
        <f t="shared" si="6"/>
        <v>60</v>
      </c>
      <c r="R51" s="5">
        <f t="shared" si="7"/>
        <v>57</v>
      </c>
    </row>
    <row r="52" spans="1:18" x14ac:dyDescent="0.25">
      <c r="A52" s="13">
        <v>50</v>
      </c>
      <c r="B52" s="14">
        <v>80615</v>
      </c>
      <c r="C52" s="14">
        <v>54</v>
      </c>
      <c r="D52" s="15" t="s">
        <v>292</v>
      </c>
      <c r="E52" s="15" t="s">
        <v>19</v>
      </c>
      <c r="F52" s="14">
        <v>4</v>
      </c>
      <c r="G52" s="15" t="s">
        <v>16</v>
      </c>
      <c r="H52" s="15">
        <v>19.149999999999999</v>
      </c>
      <c r="I52" s="15">
        <v>18.649999999999999</v>
      </c>
      <c r="J52" s="14">
        <v>37.799999999999997</v>
      </c>
      <c r="K52" s="16">
        <v>70.010000000000005</v>
      </c>
      <c r="N52">
        <f t="shared" si="4"/>
        <v>80615</v>
      </c>
      <c r="O52">
        <f>IF(AND(A52&gt;0,A52&lt;999),IFERROR(VLOOKUP(results0125[[#This Row],[Card]],U14M[],1,FALSE),0),0)</f>
        <v>80615</v>
      </c>
      <c r="P52">
        <f t="shared" si="5"/>
        <v>50</v>
      </c>
      <c r="Q52" s="5">
        <f t="shared" si="6"/>
        <v>65</v>
      </c>
      <c r="R52" s="5">
        <f t="shared" si="7"/>
        <v>51</v>
      </c>
    </row>
    <row r="53" spans="1:18" x14ac:dyDescent="0.25">
      <c r="A53" s="17">
        <v>52</v>
      </c>
      <c r="B53" s="18">
        <v>78164</v>
      </c>
      <c r="C53" s="18">
        <v>47</v>
      </c>
      <c r="D53" s="19" t="s">
        <v>129</v>
      </c>
      <c r="E53" s="19" t="s">
        <v>61</v>
      </c>
      <c r="F53" s="18">
        <v>5</v>
      </c>
      <c r="G53" s="19" t="s">
        <v>16</v>
      </c>
      <c r="H53" s="19">
        <v>19.29</v>
      </c>
      <c r="I53" s="19">
        <v>18.53</v>
      </c>
      <c r="J53" s="18">
        <v>37.82</v>
      </c>
      <c r="K53" s="20">
        <v>70.430000000000007</v>
      </c>
      <c r="N53">
        <f t="shared" si="4"/>
        <v>78164</v>
      </c>
      <c r="O53">
        <f>IF(AND(A53&gt;0,A53&lt;999),IFERROR(VLOOKUP(results0125[[#This Row],[Card]],U14M[],1,FALSE),0),0)</f>
        <v>78164</v>
      </c>
      <c r="P53">
        <f t="shared" si="5"/>
        <v>52</v>
      </c>
      <c r="Q53" s="5">
        <f t="shared" si="6"/>
        <v>67</v>
      </c>
      <c r="R53" s="5">
        <f t="shared" si="7"/>
        <v>44</v>
      </c>
    </row>
    <row r="54" spans="1:18" x14ac:dyDescent="0.25">
      <c r="A54" s="13">
        <v>53</v>
      </c>
      <c r="B54" s="14">
        <v>81481</v>
      </c>
      <c r="C54" s="14">
        <v>38</v>
      </c>
      <c r="D54" s="15" t="s">
        <v>182</v>
      </c>
      <c r="E54" s="15" t="s">
        <v>31</v>
      </c>
      <c r="F54" s="14">
        <v>4</v>
      </c>
      <c r="G54" s="15" t="s">
        <v>16</v>
      </c>
      <c r="H54" s="15">
        <v>18.89</v>
      </c>
      <c r="I54" s="15">
        <v>19.03</v>
      </c>
      <c r="J54" s="14">
        <v>37.92</v>
      </c>
      <c r="K54" s="16">
        <v>72.52</v>
      </c>
      <c r="N54">
        <f t="shared" si="4"/>
        <v>81481</v>
      </c>
      <c r="O54">
        <f>IF(AND(A54&gt;0,A54&lt;999),IFERROR(VLOOKUP(results0125[[#This Row],[Card]],U14M[],1,FALSE),0),0)</f>
        <v>81481</v>
      </c>
      <c r="P54">
        <f t="shared" si="5"/>
        <v>53</v>
      </c>
      <c r="Q54" s="5">
        <f t="shared" si="6"/>
        <v>55</v>
      </c>
      <c r="R54" s="5">
        <f t="shared" si="7"/>
        <v>63</v>
      </c>
    </row>
    <row r="55" spans="1:18" x14ac:dyDescent="0.25">
      <c r="A55" s="17">
        <v>54</v>
      </c>
      <c r="B55" s="18">
        <v>81455</v>
      </c>
      <c r="C55" s="18">
        <v>109</v>
      </c>
      <c r="D55" s="19" t="s">
        <v>171</v>
      </c>
      <c r="E55" s="19" t="s">
        <v>19</v>
      </c>
      <c r="F55" s="18">
        <v>5</v>
      </c>
      <c r="G55" s="19" t="s">
        <v>16</v>
      </c>
      <c r="H55" s="19">
        <v>18.91</v>
      </c>
      <c r="I55" s="19">
        <v>19.11</v>
      </c>
      <c r="J55" s="18">
        <v>38.020000000000003</v>
      </c>
      <c r="K55" s="20">
        <v>74.61</v>
      </c>
      <c r="N55">
        <f t="shared" si="4"/>
        <v>81455</v>
      </c>
      <c r="O55">
        <f>IF(AND(A55&gt;0,A55&lt;999),IFERROR(VLOOKUP(results0125[[#This Row],[Card]],U14M[],1,FALSE),0),0)</f>
        <v>81455</v>
      </c>
      <c r="P55">
        <f t="shared" si="5"/>
        <v>54</v>
      </c>
      <c r="Q55" s="5">
        <f t="shared" si="6"/>
        <v>57</v>
      </c>
      <c r="R55" s="5">
        <f t="shared" si="7"/>
        <v>66</v>
      </c>
    </row>
    <row r="56" spans="1:18" x14ac:dyDescent="0.25">
      <c r="A56" s="13">
        <v>55</v>
      </c>
      <c r="B56" s="14">
        <v>78181</v>
      </c>
      <c r="C56" s="14">
        <v>89</v>
      </c>
      <c r="D56" s="15" t="s">
        <v>138</v>
      </c>
      <c r="E56" s="15" t="s">
        <v>61</v>
      </c>
      <c r="F56" s="14">
        <v>4</v>
      </c>
      <c r="G56" s="15" t="s">
        <v>16</v>
      </c>
      <c r="H56" s="15">
        <v>18.89</v>
      </c>
      <c r="I56" s="15">
        <v>19.18</v>
      </c>
      <c r="J56" s="14">
        <v>38.07</v>
      </c>
      <c r="K56" s="16">
        <v>75.66</v>
      </c>
      <c r="N56">
        <f t="shared" si="4"/>
        <v>78181</v>
      </c>
      <c r="O56">
        <f>IF(AND(A56&gt;0,A56&lt;999),IFERROR(VLOOKUP(results0125[[#This Row],[Card]],U14M[],1,FALSE),0),0)</f>
        <v>78181</v>
      </c>
      <c r="P56">
        <f t="shared" si="5"/>
        <v>55</v>
      </c>
      <c r="Q56" s="5">
        <f t="shared" si="6"/>
        <v>55</v>
      </c>
      <c r="R56" s="5">
        <f t="shared" si="7"/>
        <v>67</v>
      </c>
    </row>
    <row r="57" spans="1:18" x14ac:dyDescent="0.25">
      <c r="A57" s="17">
        <v>56</v>
      </c>
      <c r="B57" s="18">
        <v>81810</v>
      </c>
      <c r="C57" s="18">
        <v>66</v>
      </c>
      <c r="D57" s="19" t="s">
        <v>329</v>
      </c>
      <c r="E57" s="19" t="s">
        <v>54</v>
      </c>
      <c r="F57" s="18">
        <v>4</v>
      </c>
      <c r="G57" s="19" t="s">
        <v>16</v>
      </c>
      <c r="H57" s="19">
        <v>19.149999999999999</v>
      </c>
      <c r="I57" s="19">
        <v>19.059999999999999</v>
      </c>
      <c r="J57" s="18">
        <v>38.21</v>
      </c>
      <c r="K57" s="20">
        <v>78.58</v>
      </c>
      <c r="N57">
        <f t="shared" si="4"/>
        <v>81810</v>
      </c>
      <c r="O57">
        <f>IF(AND(A57&gt;0,A57&lt;999),IFERROR(VLOOKUP(results0125[[#This Row],[Card]],U14M[],1,FALSE),0),0)</f>
        <v>81810</v>
      </c>
      <c r="P57">
        <f t="shared" si="5"/>
        <v>56</v>
      </c>
      <c r="Q57" s="5">
        <f t="shared" si="6"/>
        <v>65</v>
      </c>
      <c r="R57" s="5">
        <f t="shared" si="7"/>
        <v>64</v>
      </c>
    </row>
    <row r="58" spans="1:18" x14ac:dyDescent="0.25">
      <c r="A58" s="13">
        <v>57</v>
      </c>
      <c r="B58" s="14">
        <v>79148</v>
      </c>
      <c r="C58" s="14">
        <v>72</v>
      </c>
      <c r="D58" s="15" t="s">
        <v>191</v>
      </c>
      <c r="E58" s="15" t="s">
        <v>31</v>
      </c>
      <c r="F58" s="14">
        <v>4</v>
      </c>
      <c r="G58" s="15" t="s">
        <v>16</v>
      </c>
      <c r="H58" s="15">
        <v>19.34</v>
      </c>
      <c r="I58" s="15">
        <v>19.100000000000001</v>
      </c>
      <c r="J58" s="14">
        <v>38.44</v>
      </c>
      <c r="K58" s="16">
        <v>83.39</v>
      </c>
      <c r="N58">
        <f t="shared" si="4"/>
        <v>79148</v>
      </c>
      <c r="O58">
        <f>IF(AND(A58&gt;0,A58&lt;999),IFERROR(VLOOKUP(results0125[[#This Row],[Card]],U14M[],1,FALSE),0),0)</f>
        <v>79148</v>
      </c>
      <c r="P58">
        <f t="shared" si="5"/>
        <v>57</v>
      </c>
      <c r="Q58" s="5">
        <f t="shared" si="6"/>
        <v>69</v>
      </c>
      <c r="R58" s="5">
        <f t="shared" si="7"/>
        <v>65</v>
      </c>
    </row>
    <row r="59" spans="1:18" x14ac:dyDescent="0.25">
      <c r="A59" s="17">
        <v>58</v>
      </c>
      <c r="B59" s="18">
        <v>76510</v>
      </c>
      <c r="C59" s="18">
        <v>94</v>
      </c>
      <c r="D59" s="19" t="s">
        <v>186</v>
      </c>
      <c r="E59" s="19" t="s">
        <v>38</v>
      </c>
      <c r="F59" s="18">
        <v>4</v>
      </c>
      <c r="G59" s="19" t="s">
        <v>16</v>
      </c>
      <c r="H59" s="19">
        <v>18.96</v>
      </c>
      <c r="I59" s="19">
        <v>19.489999999999998</v>
      </c>
      <c r="J59" s="18">
        <v>38.450000000000003</v>
      </c>
      <c r="K59" s="20">
        <v>83.6</v>
      </c>
      <c r="N59">
        <f t="shared" si="4"/>
        <v>76510</v>
      </c>
      <c r="O59">
        <f>IF(AND(A59&gt;0,A59&lt;999),IFERROR(VLOOKUP(results0125[[#This Row],[Card]],U14M[],1,FALSE),0),0)</f>
        <v>76510</v>
      </c>
      <c r="P59">
        <f t="shared" si="5"/>
        <v>58</v>
      </c>
      <c r="Q59" s="5">
        <f t="shared" si="6"/>
        <v>59</v>
      </c>
      <c r="R59" s="5">
        <f t="shared" si="7"/>
        <v>72</v>
      </c>
    </row>
    <row r="60" spans="1:18" x14ac:dyDescent="0.25">
      <c r="A60" s="13">
        <v>59</v>
      </c>
      <c r="B60" s="14">
        <v>89505</v>
      </c>
      <c r="C60" s="14">
        <v>106</v>
      </c>
      <c r="D60" s="15" t="s">
        <v>387</v>
      </c>
      <c r="E60" s="15" t="s">
        <v>388</v>
      </c>
      <c r="F60" s="14">
        <v>5</v>
      </c>
      <c r="G60" s="15" t="s">
        <v>16</v>
      </c>
      <c r="H60" s="15">
        <v>18.97</v>
      </c>
      <c r="I60" s="15">
        <v>19.66</v>
      </c>
      <c r="J60" s="14">
        <v>38.630000000000003</v>
      </c>
      <c r="K60" s="16">
        <v>87.36</v>
      </c>
      <c r="N60">
        <f t="shared" si="4"/>
        <v>89505</v>
      </c>
      <c r="O60">
        <f>IF(AND(A60&gt;0,A60&lt;999),IFERROR(VLOOKUP(results0125[[#This Row],[Card]],U14M[],1,FALSE),0),0)</f>
        <v>89505</v>
      </c>
      <c r="P60">
        <f t="shared" si="5"/>
        <v>59</v>
      </c>
      <c r="Q60" s="5">
        <f t="shared" si="6"/>
        <v>60</v>
      </c>
      <c r="R60" s="5">
        <f t="shared" si="7"/>
        <v>80</v>
      </c>
    </row>
    <row r="61" spans="1:18" x14ac:dyDescent="0.25">
      <c r="A61" s="17">
        <v>60</v>
      </c>
      <c r="B61" s="18">
        <v>80630</v>
      </c>
      <c r="C61" s="18">
        <v>81</v>
      </c>
      <c r="D61" s="19" t="s">
        <v>188</v>
      </c>
      <c r="E61" s="19" t="s">
        <v>19</v>
      </c>
      <c r="F61" s="18">
        <v>4</v>
      </c>
      <c r="G61" s="19" t="s">
        <v>16</v>
      </c>
      <c r="H61" s="19">
        <v>19.46</v>
      </c>
      <c r="I61" s="19">
        <v>19.190000000000001</v>
      </c>
      <c r="J61" s="18">
        <v>38.65</v>
      </c>
      <c r="K61" s="20">
        <v>87.78</v>
      </c>
      <c r="N61">
        <f t="shared" si="4"/>
        <v>80630</v>
      </c>
      <c r="O61">
        <f>IF(AND(A61&gt;0,A61&lt;999),IFERROR(VLOOKUP(results0125[[#This Row],[Card]],U14M[],1,FALSE),0),0)</f>
        <v>80630</v>
      </c>
      <c r="P61">
        <f t="shared" si="5"/>
        <v>60</v>
      </c>
      <c r="Q61" s="5">
        <f t="shared" si="6"/>
        <v>71</v>
      </c>
      <c r="R61" s="5">
        <f t="shared" si="7"/>
        <v>68</v>
      </c>
    </row>
    <row r="62" spans="1:18" x14ac:dyDescent="0.25">
      <c r="A62" s="13">
        <v>61</v>
      </c>
      <c r="B62" s="14">
        <v>78178</v>
      </c>
      <c r="C62" s="14">
        <v>91</v>
      </c>
      <c r="D62" s="15" t="s">
        <v>194</v>
      </c>
      <c r="E62" s="15" t="s">
        <v>61</v>
      </c>
      <c r="F62" s="14">
        <v>4</v>
      </c>
      <c r="G62" s="15" t="s">
        <v>16</v>
      </c>
      <c r="H62" s="15">
        <v>19.07</v>
      </c>
      <c r="I62" s="15">
        <v>19.61</v>
      </c>
      <c r="J62" s="14">
        <v>38.68</v>
      </c>
      <c r="K62" s="16">
        <v>88.41</v>
      </c>
      <c r="N62">
        <f t="shared" si="4"/>
        <v>78178</v>
      </c>
      <c r="O62">
        <f>IF(AND(A62&gt;0,A62&lt;999),IFERROR(VLOOKUP(results0125[[#This Row],[Card]],U14M[],1,FALSE),0),0)</f>
        <v>78178</v>
      </c>
      <c r="P62">
        <f t="shared" si="5"/>
        <v>61</v>
      </c>
      <c r="Q62" s="5">
        <f t="shared" si="6"/>
        <v>64</v>
      </c>
      <c r="R62" s="5">
        <f t="shared" si="7"/>
        <v>78</v>
      </c>
    </row>
    <row r="63" spans="1:18" x14ac:dyDescent="0.25">
      <c r="A63" s="17">
        <v>62</v>
      </c>
      <c r="B63" s="18">
        <v>84722</v>
      </c>
      <c r="C63" s="18">
        <v>83</v>
      </c>
      <c r="D63" s="19" t="s">
        <v>169</v>
      </c>
      <c r="E63" s="19" t="s">
        <v>61</v>
      </c>
      <c r="F63" s="18">
        <v>4</v>
      </c>
      <c r="G63" s="19" t="s">
        <v>16</v>
      </c>
      <c r="H63" s="19">
        <v>19.46</v>
      </c>
      <c r="I63" s="19">
        <v>19.32</v>
      </c>
      <c r="J63" s="18">
        <v>38.78</v>
      </c>
      <c r="K63" s="20">
        <v>90.5</v>
      </c>
      <c r="N63">
        <f t="shared" si="4"/>
        <v>84722</v>
      </c>
      <c r="O63">
        <f>IF(AND(A63&gt;0,A63&lt;999),IFERROR(VLOOKUP(results0125[[#This Row],[Card]],U14M[],1,FALSE),0),0)</f>
        <v>84722</v>
      </c>
      <c r="P63">
        <f t="shared" si="5"/>
        <v>62</v>
      </c>
      <c r="Q63" s="5">
        <f t="shared" si="6"/>
        <v>71</v>
      </c>
      <c r="R63" s="5">
        <f t="shared" si="7"/>
        <v>70</v>
      </c>
    </row>
    <row r="64" spans="1:18" x14ac:dyDescent="0.25">
      <c r="A64" s="13">
        <v>63</v>
      </c>
      <c r="B64" s="14">
        <v>80605</v>
      </c>
      <c r="C64" s="14">
        <v>13</v>
      </c>
      <c r="D64" s="15" t="s">
        <v>162</v>
      </c>
      <c r="E64" s="15" t="s">
        <v>163</v>
      </c>
      <c r="F64" s="14">
        <v>5</v>
      </c>
      <c r="G64" s="15" t="s">
        <v>16</v>
      </c>
      <c r="H64" s="15">
        <v>19.579999999999998</v>
      </c>
      <c r="I64" s="15">
        <v>19.260000000000002</v>
      </c>
      <c r="J64" s="14">
        <v>38.840000000000003</v>
      </c>
      <c r="K64" s="16">
        <v>91.75</v>
      </c>
      <c r="N64">
        <f t="shared" si="4"/>
        <v>80605</v>
      </c>
      <c r="O64">
        <f>IF(AND(A64&gt;0,A64&lt;999),IFERROR(VLOOKUP(results0125[[#This Row],[Card]],U14M[],1,FALSE),0),0)</f>
        <v>80605</v>
      </c>
      <c r="P64">
        <f t="shared" si="5"/>
        <v>63</v>
      </c>
      <c r="Q64" s="5">
        <f t="shared" si="6"/>
        <v>77</v>
      </c>
      <c r="R64" s="5">
        <f t="shared" si="7"/>
        <v>69</v>
      </c>
    </row>
    <row r="65" spans="1:18" x14ac:dyDescent="0.25">
      <c r="A65" s="17">
        <v>64</v>
      </c>
      <c r="B65" s="18">
        <v>80830</v>
      </c>
      <c r="C65" s="18">
        <v>96</v>
      </c>
      <c r="D65" s="19" t="s">
        <v>217</v>
      </c>
      <c r="E65" s="19" t="s">
        <v>54</v>
      </c>
      <c r="F65" s="18">
        <v>5</v>
      </c>
      <c r="G65" s="19" t="s">
        <v>16</v>
      </c>
      <c r="H65" s="19">
        <v>19.55</v>
      </c>
      <c r="I65" s="19">
        <v>19.489999999999998</v>
      </c>
      <c r="J65" s="18">
        <v>39.04</v>
      </c>
      <c r="K65" s="20">
        <v>95.93</v>
      </c>
      <c r="N65">
        <f t="shared" si="4"/>
        <v>80830</v>
      </c>
      <c r="O65">
        <f>IF(AND(A65&gt;0,A65&lt;999),IFERROR(VLOOKUP(results0125[[#This Row],[Card]],U14M[],1,FALSE),0),0)</f>
        <v>80830</v>
      </c>
      <c r="P65">
        <f t="shared" si="5"/>
        <v>64</v>
      </c>
      <c r="Q65" s="5">
        <f t="shared" si="6"/>
        <v>76</v>
      </c>
      <c r="R65" s="5">
        <f t="shared" si="7"/>
        <v>72</v>
      </c>
    </row>
    <row r="66" spans="1:18" x14ac:dyDescent="0.25">
      <c r="A66" s="13">
        <v>65</v>
      </c>
      <c r="B66" s="14">
        <v>78783</v>
      </c>
      <c r="C66" s="14">
        <v>104</v>
      </c>
      <c r="D66" s="15" t="s">
        <v>198</v>
      </c>
      <c r="E66" s="15" t="s">
        <v>47</v>
      </c>
      <c r="F66" s="14">
        <v>5</v>
      </c>
      <c r="G66" s="15" t="s">
        <v>16</v>
      </c>
      <c r="H66" s="15">
        <v>19.53</v>
      </c>
      <c r="I66" s="15">
        <v>19.52</v>
      </c>
      <c r="J66" s="14">
        <v>39.049999999999997</v>
      </c>
      <c r="K66" s="16">
        <v>96.14</v>
      </c>
      <c r="N66">
        <f t="shared" ref="N66:N97" si="8">B66</f>
        <v>78783</v>
      </c>
      <c r="O66">
        <f>IF(AND(A66&gt;0,A66&lt;999),IFERROR(VLOOKUP(results0125[[#This Row],[Card]],U14M[],1,FALSE),0),0)</f>
        <v>78783</v>
      </c>
      <c r="P66">
        <f t="shared" ref="P66:P97" si="9">A66</f>
        <v>65</v>
      </c>
      <c r="Q66" s="5">
        <f t="shared" ref="Q66:Q97" si="10">IFERROR(_xlfn.RANK.EQ(H66,$H$2:$H$117,1),999)</f>
        <v>75</v>
      </c>
      <c r="R66" s="5">
        <f t="shared" ref="R66:R97" si="11">IFERROR(_xlfn.RANK.EQ(I66,$I$2:$I$117,1),999)</f>
        <v>74</v>
      </c>
    </row>
    <row r="67" spans="1:18" x14ac:dyDescent="0.25">
      <c r="A67" s="17">
        <v>66</v>
      </c>
      <c r="B67" s="18">
        <v>80627</v>
      </c>
      <c r="C67" s="18">
        <v>84</v>
      </c>
      <c r="D67" s="19" t="s">
        <v>222</v>
      </c>
      <c r="E67" s="19" t="s">
        <v>19</v>
      </c>
      <c r="F67" s="18">
        <v>5</v>
      </c>
      <c r="G67" s="19" t="s">
        <v>16</v>
      </c>
      <c r="H67" s="19">
        <v>19.510000000000002</v>
      </c>
      <c r="I67" s="19">
        <v>19.670000000000002</v>
      </c>
      <c r="J67" s="18">
        <v>39.18</v>
      </c>
      <c r="K67" s="20">
        <v>98.86</v>
      </c>
      <c r="N67">
        <f t="shared" si="8"/>
        <v>80627</v>
      </c>
      <c r="O67">
        <f>IF(AND(A67&gt;0,A67&lt;999),IFERROR(VLOOKUP(results0125[[#This Row],[Card]],U14M[],1,FALSE),0),0)</f>
        <v>80627</v>
      </c>
      <c r="P67">
        <f t="shared" si="9"/>
        <v>66</v>
      </c>
      <c r="Q67" s="5">
        <f t="shared" si="10"/>
        <v>73</v>
      </c>
      <c r="R67" s="5">
        <f t="shared" si="11"/>
        <v>81</v>
      </c>
    </row>
    <row r="68" spans="1:18" x14ac:dyDescent="0.25">
      <c r="A68" s="13">
        <v>67</v>
      </c>
      <c r="B68" s="14">
        <v>88391</v>
      </c>
      <c r="C68" s="14">
        <v>115</v>
      </c>
      <c r="D68" s="15" t="s">
        <v>284</v>
      </c>
      <c r="E68" s="15" t="s">
        <v>155</v>
      </c>
      <c r="F68" s="14">
        <v>5</v>
      </c>
      <c r="G68" s="15" t="s">
        <v>16</v>
      </c>
      <c r="H68" s="15">
        <v>20.3</v>
      </c>
      <c r="I68" s="15">
        <v>18.89</v>
      </c>
      <c r="J68" s="14">
        <v>39.19</v>
      </c>
      <c r="K68" s="16">
        <v>99.07</v>
      </c>
      <c r="N68">
        <f t="shared" si="8"/>
        <v>88391</v>
      </c>
      <c r="O68">
        <f>IF(AND(A68&gt;0,A68&lt;999),IFERROR(VLOOKUP(results0125[[#This Row],[Card]],U14M[],1,FALSE),0),0)</f>
        <v>88391</v>
      </c>
      <c r="P68">
        <f t="shared" si="9"/>
        <v>67</v>
      </c>
      <c r="Q68" s="5">
        <f t="shared" si="10"/>
        <v>86</v>
      </c>
      <c r="R68" s="5">
        <f t="shared" si="11"/>
        <v>59</v>
      </c>
    </row>
    <row r="69" spans="1:18" x14ac:dyDescent="0.25">
      <c r="A69" s="17">
        <v>68</v>
      </c>
      <c r="B69" s="18">
        <v>81505</v>
      </c>
      <c r="C69" s="18">
        <v>110</v>
      </c>
      <c r="D69" s="19" t="s">
        <v>315</v>
      </c>
      <c r="E69" s="19" t="s">
        <v>22</v>
      </c>
      <c r="F69" s="18">
        <v>5</v>
      </c>
      <c r="G69" s="19" t="s">
        <v>16</v>
      </c>
      <c r="H69" s="19">
        <v>19.52</v>
      </c>
      <c r="I69" s="19">
        <v>19.7</v>
      </c>
      <c r="J69" s="18">
        <v>39.22</v>
      </c>
      <c r="K69" s="20">
        <v>99.69</v>
      </c>
      <c r="N69">
        <f t="shared" si="8"/>
        <v>81505</v>
      </c>
      <c r="O69">
        <f>IF(AND(A69&gt;0,A69&lt;999),IFERROR(VLOOKUP(results0125[[#This Row],[Card]],U14M[],1,FALSE),0),0)</f>
        <v>81505</v>
      </c>
      <c r="P69">
        <f t="shared" si="9"/>
        <v>68</v>
      </c>
      <c r="Q69" s="5">
        <f t="shared" si="10"/>
        <v>74</v>
      </c>
      <c r="R69" s="5">
        <f t="shared" si="11"/>
        <v>84</v>
      </c>
    </row>
    <row r="70" spans="1:18" x14ac:dyDescent="0.25">
      <c r="A70" s="13">
        <v>68</v>
      </c>
      <c r="B70" s="14">
        <v>87999</v>
      </c>
      <c r="C70" s="14">
        <v>82</v>
      </c>
      <c r="D70" s="15" t="s">
        <v>179</v>
      </c>
      <c r="E70" s="15" t="s">
        <v>19</v>
      </c>
      <c r="F70" s="14">
        <v>5</v>
      </c>
      <c r="G70" s="15" t="s">
        <v>16</v>
      </c>
      <c r="H70" s="15">
        <v>19.66</v>
      </c>
      <c r="I70" s="15">
        <v>19.559999999999999</v>
      </c>
      <c r="J70" s="14">
        <v>39.22</v>
      </c>
      <c r="K70" s="16">
        <v>99.69</v>
      </c>
      <c r="N70">
        <f t="shared" si="8"/>
        <v>87999</v>
      </c>
      <c r="O70">
        <f>IF(AND(A70&gt;0,A70&lt;999),IFERROR(VLOOKUP(results0125[[#This Row],[Card]],U14M[],1,FALSE),0),0)</f>
        <v>87999</v>
      </c>
      <c r="P70">
        <f t="shared" si="9"/>
        <v>68</v>
      </c>
      <c r="Q70" s="5">
        <f t="shared" si="10"/>
        <v>79</v>
      </c>
      <c r="R70" s="5">
        <f t="shared" si="11"/>
        <v>75</v>
      </c>
    </row>
    <row r="71" spans="1:18" x14ac:dyDescent="0.25">
      <c r="A71" s="17">
        <v>70</v>
      </c>
      <c r="B71" s="18">
        <v>81879</v>
      </c>
      <c r="C71" s="18">
        <v>113</v>
      </c>
      <c r="D71" s="19" t="s">
        <v>146</v>
      </c>
      <c r="E71" s="19" t="s">
        <v>22</v>
      </c>
      <c r="F71" s="18">
        <v>5</v>
      </c>
      <c r="G71" s="19" t="s">
        <v>16</v>
      </c>
      <c r="H71" s="19">
        <v>20.62</v>
      </c>
      <c r="I71" s="19">
        <v>18.62</v>
      </c>
      <c r="J71" s="18">
        <v>39.24</v>
      </c>
      <c r="K71" s="20">
        <v>100.11</v>
      </c>
      <c r="N71">
        <f t="shared" si="8"/>
        <v>81879</v>
      </c>
      <c r="O71">
        <f>IF(AND(A71&gt;0,A71&lt;999),IFERROR(VLOOKUP(results0125[[#This Row],[Card]],U14M[],1,FALSE),0),0)</f>
        <v>81879</v>
      </c>
      <c r="P71">
        <f t="shared" si="9"/>
        <v>70</v>
      </c>
      <c r="Q71" s="5">
        <f t="shared" si="10"/>
        <v>91</v>
      </c>
      <c r="R71" s="5">
        <f t="shared" si="11"/>
        <v>49</v>
      </c>
    </row>
    <row r="72" spans="1:18" x14ac:dyDescent="0.25">
      <c r="A72" s="13">
        <v>71</v>
      </c>
      <c r="B72" s="14">
        <v>80692</v>
      </c>
      <c r="C72" s="14">
        <v>112</v>
      </c>
      <c r="D72" s="15" t="s">
        <v>317</v>
      </c>
      <c r="E72" s="15" t="s">
        <v>31</v>
      </c>
      <c r="F72" s="14">
        <v>5</v>
      </c>
      <c r="G72" s="15" t="s">
        <v>16</v>
      </c>
      <c r="H72" s="15">
        <v>19.649999999999999</v>
      </c>
      <c r="I72" s="15">
        <v>19.600000000000001</v>
      </c>
      <c r="J72" s="14">
        <v>39.25</v>
      </c>
      <c r="K72" s="16">
        <v>100.32</v>
      </c>
      <c r="N72">
        <f t="shared" si="8"/>
        <v>80692</v>
      </c>
      <c r="O72">
        <f>IF(AND(A72&gt;0,A72&lt;999),IFERROR(VLOOKUP(results0125[[#This Row],[Card]],U14M[],1,FALSE),0),0)</f>
        <v>80692</v>
      </c>
      <c r="P72">
        <f t="shared" si="9"/>
        <v>71</v>
      </c>
      <c r="Q72" s="5">
        <f t="shared" si="10"/>
        <v>78</v>
      </c>
      <c r="R72" s="5">
        <f t="shared" si="11"/>
        <v>77</v>
      </c>
    </row>
    <row r="73" spans="1:18" x14ac:dyDescent="0.25">
      <c r="A73" s="17">
        <v>72</v>
      </c>
      <c r="B73" s="18">
        <v>81736</v>
      </c>
      <c r="C73" s="18">
        <v>95</v>
      </c>
      <c r="D73" s="19" t="s">
        <v>184</v>
      </c>
      <c r="E73" s="19" t="s">
        <v>31</v>
      </c>
      <c r="F73" s="18">
        <v>4</v>
      </c>
      <c r="G73" s="19" t="s">
        <v>16</v>
      </c>
      <c r="H73" s="19">
        <v>19.68</v>
      </c>
      <c r="I73" s="19">
        <v>19.63</v>
      </c>
      <c r="J73" s="18">
        <v>39.31</v>
      </c>
      <c r="K73" s="20">
        <v>101.57</v>
      </c>
      <c r="N73">
        <f t="shared" si="8"/>
        <v>81736</v>
      </c>
      <c r="O73">
        <f>IF(AND(A73&gt;0,A73&lt;999),IFERROR(VLOOKUP(results0125[[#This Row],[Card]],U14M[],1,FALSE),0),0)</f>
        <v>81736</v>
      </c>
      <c r="P73">
        <f t="shared" si="9"/>
        <v>72</v>
      </c>
      <c r="Q73" s="5">
        <f t="shared" si="10"/>
        <v>81</v>
      </c>
      <c r="R73" s="5">
        <f t="shared" si="11"/>
        <v>79</v>
      </c>
    </row>
    <row r="74" spans="1:18" x14ac:dyDescent="0.25">
      <c r="A74" s="13">
        <v>73</v>
      </c>
      <c r="B74" s="14">
        <v>85566</v>
      </c>
      <c r="C74" s="14">
        <v>65</v>
      </c>
      <c r="D74" s="15" t="s">
        <v>150</v>
      </c>
      <c r="E74" s="15" t="s">
        <v>117</v>
      </c>
      <c r="F74" s="14">
        <v>5</v>
      </c>
      <c r="G74" s="15" t="s">
        <v>16</v>
      </c>
      <c r="H74" s="15">
        <v>19.940000000000001</v>
      </c>
      <c r="I74" s="15">
        <v>19.690000000000001</v>
      </c>
      <c r="J74" s="14">
        <v>39.630000000000003</v>
      </c>
      <c r="K74" s="16">
        <v>108.26</v>
      </c>
      <c r="N74">
        <f t="shared" si="8"/>
        <v>85566</v>
      </c>
      <c r="O74">
        <f>IF(AND(A74&gt;0,A74&lt;999),IFERROR(VLOOKUP(results0125[[#This Row],[Card]],U14M[],1,FALSE),0),0)</f>
        <v>85566</v>
      </c>
      <c r="P74">
        <f t="shared" si="9"/>
        <v>73</v>
      </c>
      <c r="Q74" s="5">
        <f t="shared" si="10"/>
        <v>83</v>
      </c>
      <c r="R74" s="5">
        <f t="shared" si="11"/>
        <v>83</v>
      </c>
    </row>
    <row r="75" spans="1:18" x14ac:dyDescent="0.25">
      <c r="A75" s="17">
        <v>74</v>
      </c>
      <c r="B75" s="18">
        <v>78649</v>
      </c>
      <c r="C75" s="18">
        <v>2</v>
      </c>
      <c r="D75" s="19" t="s">
        <v>308</v>
      </c>
      <c r="E75" s="19" t="s">
        <v>309</v>
      </c>
      <c r="F75" s="18">
        <v>4</v>
      </c>
      <c r="G75" s="19" t="s">
        <v>16</v>
      </c>
      <c r="H75" s="19">
        <v>20</v>
      </c>
      <c r="I75" s="19">
        <v>19.73</v>
      </c>
      <c r="J75" s="18">
        <v>39.729999999999997</v>
      </c>
      <c r="K75" s="20">
        <v>110.35</v>
      </c>
      <c r="N75">
        <f t="shared" si="8"/>
        <v>78649</v>
      </c>
      <c r="O75">
        <f>IF(AND(A75&gt;0,A75&lt;999),IFERROR(VLOOKUP(results0125[[#This Row],[Card]],U14M[],1,FALSE),0),0)</f>
        <v>78649</v>
      </c>
      <c r="P75">
        <f t="shared" si="9"/>
        <v>74</v>
      </c>
      <c r="Q75" s="5">
        <f t="shared" si="10"/>
        <v>84</v>
      </c>
      <c r="R75" s="5">
        <f t="shared" si="11"/>
        <v>87</v>
      </c>
    </row>
    <row r="76" spans="1:18" x14ac:dyDescent="0.25">
      <c r="A76" s="13">
        <v>75</v>
      </c>
      <c r="B76" s="14">
        <v>80701</v>
      </c>
      <c r="C76" s="14">
        <v>114</v>
      </c>
      <c r="D76" s="15" t="s">
        <v>216</v>
      </c>
      <c r="E76" s="15" t="s">
        <v>31</v>
      </c>
      <c r="F76" s="14">
        <v>5</v>
      </c>
      <c r="G76" s="15" t="s">
        <v>16</v>
      </c>
      <c r="H76" s="15">
        <v>20.47</v>
      </c>
      <c r="I76" s="15">
        <v>19.670000000000002</v>
      </c>
      <c r="J76" s="14">
        <v>40.14</v>
      </c>
      <c r="K76" s="16">
        <v>118.92</v>
      </c>
      <c r="N76">
        <f t="shared" si="8"/>
        <v>80701</v>
      </c>
      <c r="O76">
        <f>IF(AND(A76&gt;0,A76&lt;999),IFERROR(VLOOKUP(results0125[[#This Row],[Card]],U14M[],1,FALSE),0),0)</f>
        <v>80701</v>
      </c>
      <c r="P76">
        <f t="shared" si="9"/>
        <v>75</v>
      </c>
      <c r="Q76" s="5">
        <f t="shared" si="10"/>
        <v>89</v>
      </c>
      <c r="R76" s="5">
        <f t="shared" si="11"/>
        <v>81</v>
      </c>
    </row>
    <row r="77" spans="1:18" x14ac:dyDescent="0.25">
      <c r="A77" s="17">
        <v>75</v>
      </c>
      <c r="B77" s="18">
        <v>80835</v>
      </c>
      <c r="C77" s="18">
        <v>78</v>
      </c>
      <c r="D77" s="19" t="s">
        <v>302</v>
      </c>
      <c r="E77" s="19" t="s">
        <v>54</v>
      </c>
      <c r="F77" s="18">
        <v>5</v>
      </c>
      <c r="G77" s="19" t="s">
        <v>16</v>
      </c>
      <c r="H77" s="19">
        <v>19.8</v>
      </c>
      <c r="I77" s="19">
        <v>20.34</v>
      </c>
      <c r="J77" s="18">
        <v>40.14</v>
      </c>
      <c r="K77" s="20">
        <v>118.92</v>
      </c>
      <c r="N77">
        <f t="shared" si="8"/>
        <v>80835</v>
      </c>
      <c r="O77">
        <f>IF(AND(A77&gt;0,A77&lt;999),IFERROR(VLOOKUP(results0125[[#This Row],[Card]],U14M[],1,FALSE),0),0)</f>
        <v>80835</v>
      </c>
      <c r="P77">
        <f t="shared" si="9"/>
        <v>75</v>
      </c>
      <c r="Q77" s="5">
        <f t="shared" si="10"/>
        <v>82</v>
      </c>
      <c r="R77" s="5">
        <f t="shared" si="11"/>
        <v>93</v>
      </c>
    </row>
    <row r="78" spans="1:18" x14ac:dyDescent="0.25">
      <c r="A78" s="13">
        <v>77</v>
      </c>
      <c r="B78" s="14">
        <v>81081</v>
      </c>
      <c r="C78" s="14">
        <v>111</v>
      </c>
      <c r="D78" s="15" t="s">
        <v>330</v>
      </c>
      <c r="E78" s="15" t="s">
        <v>31</v>
      </c>
      <c r="F78" s="14">
        <v>5</v>
      </c>
      <c r="G78" s="15" t="s">
        <v>16</v>
      </c>
      <c r="H78" s="15">
        <v>20.6</v>
      </c>
      <c r="I78" s="15">
        <v>19.57</v>
      </c>
      <c r="J78" s="14">
        <v>40.17</v>
      </c>
      <c r="K78" s="16">
        <v>119.55</v>
      </c>
      <c r="N78">
        <f t="shared" si="8"/>
        <v>81081</v>
      </c>
      <c r="O78">
        <f>IF(AND(A78&gt;0,A78&lt;999),IFERROR(VLOOKUP(results0125[[#This Row],[Card]],U14M[],1,FALSE),0),0)</f>
        <v>81081</v>
      </c>
      <c r="P78">
        <f t="shared" si="9"/>
        <v>77</v>
      </c>
      <c r="Q78" s="5">
        <f t="shared" si="10"/>
        <v>90</v>
      </c>
      <c r="R78" s="5">
        <f t="shared" si="11"/>
        <v>76</v>
      </c>
    </row>
    <row r="79" spans="1:18" x14ac:dyDescent="0.25">
      <c r="A79" s="17">
        <v>77</v>
      </c>
      <c r="B79" s="18">
        <v>80807</v>
      </c>
      <c r="C79" s="18">
        <v>98</v>
      </c>
      <c r="D79" s="19" t="s">
        <v>298</v>
      </c>
      <c r="E79" s="19" t="s">
        <v>54</v>
      </c>
      <c r="F79" s="18">
        <v>5</v>
      </c>
      <c r="G79" s="19" t="s">
        <v>16</v>
      </c>
      <c r="H79" s="19">
        <v>20.45</v>
      </c>
      <c r="I79" s="19">
        <v>19.72</v>
      </c>
      <c r="J79" s="18">
        <v>40.17</v>
      </c>
      <c r="K79" s="20">
        <v>119.55</v>
      </c>
      <c r="N79">
        <f t="shared" si="8"/>
        <v>80807</v>
      </c>
      <c r="O79">
        <f>IF(AND(A79&gt;0,A79&lt;999),IFERROR(VLOOKUP(results0125[[#This Row],[Card]],U14M[],1,FALSE),0),0)</f>
        <v>80807</v>
      </c>
      <c r="P79">
        <f t="shared" si="9"/>
        <v>77</v>
      </c>
      <c r="Q79" s="5">
        <f t="shared" si="10"/>
        <v>88</v>
      </c>
      <c r="R79" s="5">
        <f t="shared" si="11"/>
        <v>86</v>
      </c>
    </row>
    <row r="80" spans="1:18" x14ac:dyDescent="0.25">
      <c r="A80" s="13">
        <v>79</v>
      </c>
      <c r="B80" s="14">
        <v>82442</v>
      </c>
      <c r="C80" s="14">
        <v>101</v>
      </c>
      <c r="D80" s="15" t="s">
        <v>204</v>
      </c>
      <c r="E80" s="15" t="s">
        <v>42</v>
      </c>
      <c r="F80" s="14">
        <v>5</v>
      </c>
      <c r="G80" s="15" t="s">
        <v>16</v>
      </c>
      <c r="H80" s="15">
        <v>20.65</v>
      </c>
      <c r="I80" s="15">
        <v>19.93</v>
      </c>
      <c r="J80" s="14">
        <v>40.58</v>
      </c>
      <c r="K80" s="16">
        <v>128.12</v>
      </c>
      <c r="N80">
        <f t="shared" si="8"/>
        <v>82442</v>
      </c>
      <c r="O80">
        <f>IF(AND(A80&gt;0,A80&lt;999),IFERROR(VLOOKUP(results0125[[#This Row],[Card]],U14M[],1,FALSE),0),0)</f>
        <v>82442</v>
      </c>
      <c r="P80">
        <f t="shared" si="9"/>
        <v>79</v>
      </c>
      <c r="Q80" s="5">
        <f t="shared" si="10"/>
        <v>92</v>
      </c>
      <c r="R80" s="5">
        <f t="shared" si="11"/>
        <v>89</v>
      </c>
    </row>
    <row r="81" spans="1:18" x14ac:dyDescent="0.25">
      <c r="A81" s="17">
        <v>80</v>
      </c>
      <c r="B81" s="18">
        <v>85546</v>
      </c>
      <c r="C81" s="18">
        <v>105</v>
      </c>
      <c r="D81" s="19" t="s">
        <v>221</v>
      </c>
      <c r="E81" s="19" t="s">
        <v>117</v>
      </c>
      <c r="F81" s="18">
        <v>4</v>
      </c>
      <c r="G81" s="19" t="s">
        <v>16</v>
      </c>
      <c r="H81" s="19">
        <v>20.85</v>
      </c>
      <c r="I81" s="19">
        <v>19.850000000000001</v>
      </c>
      <c r="J81" s="18">
        <v>40.700000000000003</v>
      </c>
      <c r="K81" s="20">
        <v>130.62</v>
      </c>
      <c r="N81">
        <f t="shared" si="8"/>
        <v>85546</v>
      </c>
      <c r="O81">
        <f>IF(AND(A81&gt;0,A81&lt;999),IFERROR(VLOOKUP(results0125[[#This Row],[Card]],U14M[],1,FALSE),0),0)</f>
        <v>85546</v>
      </c>
      <c r="P81">
        <f t="shared" si="9"/>
        <v>80</v>
      </c>
      <c r="Q81" s="5">
        <f t="shared" si="10"/>
        <v>94</v>
      </c>
      <c r="R81" s="5">
        <f t="shared" si="11"/>
        <v>88</v>
      </c>
    </row>
    <row r="82" spans="1:18" x14ac:dyDescent="0.25">
      <c r="A82" s="13">
        <v>81</v>
      </c>
      <c r="B82" s="14">
        <v>78504</v>
      </c>
      <c r="C82" s="14">
        <v>103</v>
      </c>
      <c r="D82" s="15" t="s">
        <v>210</v>
      </c>
      <c r="E82" s="15" t="s">
        <v>19</v>
      </c>
      <c r="F82" s="14">
        <v>5</v>
      </c>
      <c r="G82" s="15" t="s">
        <v>16</v>
      </c>
      <c r="H82" s="15">
        <v>20.83</v>
      </c>
      <c r="I82" s="15">
        <v>20.07</v>
      </c>
      <c r="J82" s="14">
        <v>40.9</v>
      </c>
      <c r="K82" s="16">
        <v>134.80000000000001</v>
      </c>
      <c r="N82">
        <f t="shared" si="8"/>
        <v>78504</v>
      </c>
      <c r="O82">
        <f>IF(AND(A82&gt;0,A82&lt;999),IFERROR(VLOOKUP(results0125[[#This Row],[Card]],U14M[],1,FALSE),0),0)</f>
        <v>78504</v>
      </c>
      <c r="P82">
        <f t="shared" si="9"/>
        <v>81</v>
      </c>
      <c r="Q82" s="5">
        <f t="shared" si="10"/>
        <v>93</v>
      </c>
      <c r="R82" s="5">
        <f t="shared" si="11"/>
        <v>90</v>
      </c>
    </row>
    <row r="83" spans="1:18" x14ac:dyDescent="0.25">
      <c r="A83" s="17">
        <v>82</v>
      </c>
      <c r="B83" s="18">
        <v>78726</v>
      </c>
      <c r="C83" s="18">
        <v>19</v>
      </c>
      <c r="D83" s="19" t="s">
        <v>322</v>
      </c>
      <c r="E83" s="19" t="s">
        <v>309</v>
      </c>
      <c r="F83" s="18">
        <v>4</v>
      </c>
      <c r="G83" s="19" t="s">
        <v>16</v>
      </c>
      <c r="H83" s="19">
        <v>20.420000000000002</v>
      </c>
      <c r="I83" s="19">
        <v>20.99</v>
      </c>
      <c r="J83" s="18">
        <v>41.41</v>
      </c>
      <c r="K83" s="20">
        <v>145.46</v>
      </c>
      <c r="N83">
        <f t="shared" si="8"/>
        <v>78726</v>
      </c>
      <c r="O83">
        <f>IF(AND(A83&gt;0,A83&lt;999),IFERROR(VLOOKUP(results0125[[#This Row],[Card]],U14M[],1,FALSE),0),0)</f>
        <v>78726</v>
      </c>
      <c r="P83">
        <f t="shared" si="9"/>
        <v>82</v>
      </c>
      <c r="Q83" s="5">
        <f t="shared" si="10"/>
        <v>87</v>
      </c>
      <c r="R83" s="5">
        <f t="shared" si="11"/>
        <v>97</v>
      </c>
    </row>
    <row r="84" spans="1:18" x14ac:dyDescent="0.25">
      <c r="A84" s="13">
        <v>83</v>
      </c>
      <c r="B84" s="14">
        <v>78414</v>
      </c>
      <c r="C84" s="14">
        <v>93</v>
      </c>
      <c r="D84" s="15" t="s">
        <v>202</v>
      </c>
      <c r="E84" s="15" t="s">
        <v>155</v>
      </c>
      <c r="F84" s="14">
        <v>4</v>
      </c>
      <c r="G84" s="15" t="s">
        <v>16</v>
      </c>
      <c r="H84" s="15">
        <v>20.260000000000002</v>
      </c>
      <c r="I84" s="15">
        <v>21.25</v>
      </c>
      <c r="J84" s="14">
        <v>41.51</v>
      </c>
      <c r="K84" s="16">
        <v>147.55000000000001</v>
      </c>
      <c r="N84">
        <f t="shared" si="8"/>
        <v>78414</v>
      </c>
      <c r="O84">
        <f>IF(AND(A84&gt;0,A84&lt;999),IFERROR(VLOOKUP(results0125[[#This Row],[Card]],U14M[],1,FALSE),0),0)</f>
        <v>78414</v>
      </c>
      <c r="P84">
        <f t="shared" si="9"/>
        <v>83</v>
      </c>
      <c r="Q84" s="5">
        <f t="shared" si="10"/>
        <v>85</v>
      </c>
      <c r="R84" s="5">
        <f t="shared" si="11"/>
        <v>98</v>
      </c>
    </row>
    <row r="85" spans="1:18" x14ac:dyDescent="0.25">
      <c r="A85" s="17">
        <v>84</v>
      </c>
      <c r="B85" s="18">
        <v>88381</v>
      </c>
      <c r="C85" s="18">
        <v>99</v>
      </c>
      <c r="D85" s="19" t="s">
        <v>181</v>
      </c>
      <c r="E85" s="19" t="s">
        <v>47</v>
      </c>
      <c r="F85" s="18">
        <v>5</v>
      </c>
      <c r="G85" s="19" t="s">
        <v>16</v>
      </c>
      <c r="H85" s="19">
        <v>21.15</v>
      </c>
      <c r="I85" s="19">
        <v>20.52</v>
      </c>
      <c r="J85" s="18">
        <v>41.67</v>
      </c>
      <c r="K85" s="20">
        <v>150.9</v>
      </c>
      <c r="N85">
        <f t="shared" si="8"/>
        <v>88381</v>
      </c>
      <c r="O85">
        <f>IF(AND(A85&gt;0,A85&lt;999),IFERROR(VLOOKUP(results0125[[#This Row],[Card]],U14M[],1,FALSE),0),0)</f>
        <v>88381</v>
      </c>
      <c r="P85">
        <f t="shared" si="9"/>
        <v>84</v>
      </c>
      <c r="Q85" s="5">
        <f t="shared" si="10"/>
        <v>95</v>
      </c>
      <c r="R85" s="5">
        <f t="shared" si="11"/>
        <v>94</v>
      </c>
    </row>
    <row r="86" spans="1:18" x14ac:dyDescent="0.25">
      <c r="A86" s="13">
        <v>85</v>
      </c>
      <c r="B86" s="14">
        <v>81781</v>
      </c>
      <c r="C86" s="14">
        <v>100</v>
      </c>
      <c r="D86" s="15" t="s">
        <v>200</v>
      </c>
      <c r="E86" s="15" t="s">
        <v>38</v>
      </c>
      <c r="F86" s="14">
        <v>5</v>
      </c>
      <c r="G86" s="15" t="s">
        <v>16</v>
      </c>
      <c r="H86" s="15">
        <v>21.39</v>
      </c>
      <c r="I86" s="15">
        <v>20.52</v>
      </c>
      <c r="J86" s="14">
        <v>41.91</v>
      </c>
      <c r="K86" s="16">
        <v>155.91</v>
      </c>
      <c r="N86">
        <f t="shared" si="8"/>
        <v>81781</v>
      </c>
      <c r="O86">
        <f>IF(AND(A86&gt;0,A86&lt;999),IFERROR(VLOOKUP(results0125[[#This Row],[Card]],U14M[],1,FALSE),0),0)</f>
        <v>81781</v>
      </c>
      <c r="P86">
        <f t="shared" si="9"/>
        <v>85</v>
      </c>
      <c r="Q86" s="5">
        <f t="shared" si="10"/>
        <v>96</v>
      </c>
      <c r="R86" s="5">
        <f t="shared" si="11"/>
        <v>94</v>
      </c>
    </row>
    <row r="87" spans="1:18" x14ac:dyDescent="0.25">
      <c r="A87" s="17">
        <v>86</v>
      </c>
      <c r="B87" s="18">
        <v>78669</v>
      </c>
      <c r="C87" s="18">
        <v>59</v>
      </c>
      <c r="D87" s="19" t="s">
        <v>116</v>
      </c>
      <c r="E87" s="19" t="s">
        <v>117</v>
      </c>
      <c r="F87" s="18">
        <v>4</v>
      </c>
      <c r="G87" s="19" t="s">
        <v>16</v>
      </c>
      <c r="H87" s="19">
        <v>19</v>
      </c>
      <c r="I87" s="19">
        <v>24.05</v>
      </c>
      <c r="J87" s="18">
        <v>43.05</v>
      </c>
      <c r="K87" s="20">
        <v>179.74</v>
      </c>
      <c r="N87">
        <f t="shared" si="8"/>
        <v>78669</v>
      </c>
      <c r="O87">
        <f>IF(AND(A87&gt;0,A87&lt;999),IFERROR(VLOOKUP(results0125[[#This Row],[Card]],U14M[],1,FALSE),0),0)</f>
        <v>78669</v>
      </c>
      <c r="P87">
        <f t="shared" si="9"/>
        <v>86</v>
      </c>
      <c r="Q87" s="5">
        <f t="shared" si="10"/>
        <v>62</v>
      </c>
      <c r="R87" s="5">
        <f t="shared" si="11"/>
        <v>101</v>
      </c>
    </row>
    <row r="88" spans="1:18" x14ac:dyDescent="0.25">
      <c r="A88" s="13">
        <v>87</v>
      </c>
      <c r="B88" s="14">
        <v>81801</v>
      </c>
      <c r="C88" s="14">
        <v>102</v>
      </c>
      <c r="D88" s="15" t="s">
        <v>208</v>
      </c>
      <c r="E88" s="15" t="s">
        <v>61</v>
      </c>
      <c r="F88" s="14">
        <v>5</v>
      </c>
      <c r="G88" s="15" t="s">
        <v>16</v>
      </c>
      <c r="H88" s="15">
        <v>21.46</v>
      </c>
      <c r="I88" s="15">
        <v>21.85</v>
      </c>
      <c r="J88" s="14">
        <v>43.31</v>
      </c>
      <c r="K88" s="16">
        <v>185.17</v>
      </c>
      <c r="N88">
        <f t="shared" si="8"/>
        <v>81801</v>
      </c>
      <c r="O88">
        <f>IF(AND(A88&gt;0,A88&lt;999),IFERROR(VLOOKUP(results0125[[#This Row],[Card]],U14M[],1,FALSE),0),0)</f>
        <v>81801</v>
      </c>
      <c r="P88">
        <f t="shared" si="9"/>
        <v>87</v>
      </c>
      <c r="Q88" s="5">
        <f t="shared" si="10"/>
        <v>97</v>
      </c>
      <c r="R88" s="5">
        <f t="shared" si="11"/>
        <v>99</v>
      </c>
    </row>
    <row r="89" spans="1:18" x14ac:dyDescent="0.25">
      <c r="A89" s="17">
        <v>88</v>
      </c>
      <c r="B89" s="18">
        <v>84868</v>
      </c>
      <c r="C89" s="18">
        <v>79</v>
      </c>
      <c r="D89" s="19" t="s">
        <v>312</v>
      </c>
      <c r="E89" s="19" t="s">
        <v>54</v>
      </c>
      <c r="F89" s="18">
        <v>5</v>
      </c>
      <c r="G89" s="19" t="s">
        <v>16</v>
      </c>
      <c r="H89" s="19">
        <v>23.47</v>
      </c>
      <c r="I89" s="19">
        <v>20.16</v>
      </c>
      <c r="J89" s="18">
        <v>43.63</v>
      </c>
      <c r="K89" s="20">
        <v>191.86</v>
      </c>
      <c r="N89">
        <f t="shared" si="8"/>
        <v>84868</v>
      </c>
      <c r="O89">
        <f>IF(AND(A89&gt;0,A89&lt;999),IFERROR(VLOOKUP(results0125[[#This Row],[Card]],U14M[],1,FALSE),0),0)</f>
        <v>84868</v>
      </c>
      <c r="P89">
        <f t="shared" si="9"/>
        <v>88</v>
      </c>
      <c r="Q89" s="5">
        <f t="shared" si="10"/>
        <v>98</v>
      </c>
      <c r="R89" s="5">
        <f t="shared" si="11"/>
        <v>92</v>
      </c>
    </row>
    <row r="90" spans="1:18" x14ac:dyDescent="0.25">
      <c r="A90" s="13">
        <v>89</v>
      </c>
      <c r="B90" s="14">
        <v>85454</v>
      </c>
      <c r="C90" s="14">
        <v>73</v>
      </c>
      <c r="D90" s="15" t="s">
        <v>218</v>
      </c>
      <c r="E90" s="15" t="s">
        <v>54</v>
      </c>
      <c r="F90" s="14">
        <v>5</v>
      </c>
      <c r="G90" s="15" t="s">
        <v>16</v>
      </c>
      <c r="H90" s="15">
        <v>24.46</v>
      </c>
      <c r="I90" s="15">
        <v>19.7</v>
      </c>
      <c r="J90" s="14">
        <v>44.16</v>
      </c>
      <c r="K90" s="16">
        <v>202.94</v>
      </c>
      <c r="N90">
        <f t="shared" si="8"/>
        <v>85454</v>
      </c>
      <c r="O90">
        <f>IF(AND(A90&gt;0,A90&lt;999),IFERROR(VLOOKUP(results0125[[#This Row],[Card]],U14M[],1,FALSE),0),0)</f>
        <v>85454</v>
      </c>
      <c r="P90">
        <f t="shared" si="9"/>
        <v>89</v>
      </c>
      <c r="Q90" s="5">
        <f t="shared" si="10"/>
        <v>100</v>
      </c>
      <c r="R90" s="5">
        <f t="shared" si="11"/>
        <v>84</v>
      </c>
    </row>
    <row r="91" spans="1:18" x14ac:dyDescent="0.25">
      <c r="A91" s="17">
        <v>90</v>
      </c>
      <c r="B91" s="18">
        <v>80720</v>
      </c>
      <c r="C91" s="18">
        <v>25</v>
      </c>
      <c r="D91" s="19" t="s">
        <v>98</v>
      </c>
      <c r="E91" s="19" t="s">
        <v>22</v>
      </c>
      <c r="F91" s="18">
        <v>5</v>
      </c>
      <c r="G91" s="19" t="s">
        <v>16</v>
      </c>
      <c r="H91" s="19">
        <v>26.19</v>
      </c>
      <c r="I91" s="19">
        <v>18.39</v>
      </c>
      <c r="J91" s="18">
        <v>44.58</v>
      </c>
      <c r="K91" s="20">
        <v>211.72</v>
      </c>
      <c r="N91">
        <f t="shared" si="8"/>
        <v>80720</v>
      </c>
      <c r="O91">
        <f>IF(AND(A91&gt;0,A91&lt;999),IFERROR(VLOOKUP(results0125[[#This Row],[Card]],U14M[],1,FALSE),0),0)</f>
        <v>80720</v>
      </c>
      <c r="P91">
        <f t="shared" si="9"/>
        <v>90</v>
      </c>
      <c r="Q91" s="5">
        <f t="shared" si="10"/>
        <v>101</v>
      </c>
      <c r="R91" s="5">
        <f t="shared" si="11"/>
        <v>37</v>
      </c>
    </row>
    <row r="92" spans="1:18" x14ac:dyDescent="0.25">
      <c r="A92" s="13">
        <v>91</v>
      </c>
      <c r="B92" s="14">
        <v>85853</v>
      </c>
      <c r="C92" s="14">
        <v>42</v>
      </c>
      <c r="D92" s="15" t="s">
        <v>82</v>
      </c>
      <c r="E92" s="15" t="s">
        <v>15</v>
      </c>
      <c r="F92" s="14">
        <v>5</v>
      </c>
      <c r="G92" s="15" t="s">
        <v>16</v>
      </c>
      <c r="H92" s="15">
        <v>17.95</v>
      </c>
      <c r="I92" s="15">
        <v>28.78</v>
      </c>
      <c r="J92" s="14">
        <v>46.73</v>
      </c>
      <c r="K92" s="16">
        <v>256.64999999999998</v>
      </c>
      <c r="N92">
        <f t="shared" si="8"/>
        <v>85853</v>
      </c>
      <c r="O92">
        <f>IF(AND(A92&gt;0,A92&lt;999),IFERROR(VLOOKUP(results0125[[#This Row],[Card]],U14M[],1,FALSE),0),0)</f>
        <v>85853</v>
      </c>
      <c r="P92">
        <f t="shared" si="9"/>
        <v>91</v>
      </c>
      <c r="Q92" s="5">
        <f t="shared" si="10"/>
        <v>23</v>
      </c>
      <c r="R92" s="5">
        <f t="shared" si="11"/>
        <v>102</v>
      </c>
    </row>
    <row r="93" spans="1:18" x14ac:dyDescent="0.25">
      <c r="A93" s="17">
        <v>92</v>
      </c>
      <c r="B93" s="18">
        <v>81880</v>
      </c>
      <c r="C93" s="18">
        <v>108</v>
      </c>
      <c r="D93" s="19" t="s">
        <v>212</v>
      </c>
      <c r="E93" s="19" t="s">
        <v>61</v>
      </c>
      <c r="F93" s="18">
        <v>5</v>
      </c>
      <c r="G93" s="19" t="s">
        <v>16</v>
      </c>
      <c r="H93" s="19">
        <v>23.83</v>
      </c>
      <c r="I93" s="19">
        <v>23.2</v>
      </c>
      <c r="J93" s="18">
        <v>47.03</v>
      </c>
      <c r="K93" s="20">
        <v>262.92</v>
      </c>
      <c r="N93">
        <f t="shared" si="8"/>
        <v>81880</v>
      </c>
      <c r="O93">
        <f>IF(AND(A93&gt;0,A93&lt;999),IFERROR(VLOOKUP(results0125[[#This Row],[Card]],U14M[],1,FALSE),0),0)</f>
        <v>81880</v>
      </c>
      <c r="P93">
        <f t="shared" si="9"/>
        <v>92</v>
      </c>
      <c r="Q93" s="5">
        <f t="shared" si="10"/>
        <v>99</v>
      </c>
      <c r="R93" s="5">
        <f t="shared" si="11"/>
        <v>100</v>
      </c>
    </row>
    <row r="94" spans="1:18" x14ac:dyDescent="0.25">
      <c r="A94" s="13">
        <v>93</v>
      </c>
      <c r="B94" s="14">
        <v>81500</v>
      </c>
      <c r="C94" s="14">
        <v>58</v>
      </c>
      <c r="D94" s="15" t="s">
        <v>131</v>
      </c>
      <c r="E94" s="15" t="s">
        <v>22</v>
      </c>
      <c r="F94" s="14">
        <v>5</v>
      </c>
      <c r="G94" s="15" t="s">
        <v>16</v>
      </c>
      <c r="H94" s="15">
        <v>18.850000000000001</v>
      </c>
      <c r="I94" s="15">
        <v>30.5</v>
      </c>
      <c r="J94" s="14">
        <v>49.35</v>
      </c>
      <c r="K94" s="16">
        <v>311.41000000000003</v>
      </c>
      <c r="N94">
        <f t="shared" si="8"/>
        <v>81500</v>
      </c>
      <c r="O94">
        <f>IF(AND(A94&gt;0,A94&lt;999),IFERROR(VLOOKUP(results0125[[#This Row],[Card]],U14M[],1,FALSE),0),0)</f>
        <v>81500</v>
      </c>
      <c r="P94">
        <f t="shared" si="9"/>
        <v>93</v>
      </c>
      <c r="Q94" s="5">
        <f t="shared" si="10"/>
        <v>54</v>
      </c>
      <c r="R94" s="5">
        <f t="shared" si="11"/>
        <v>103</v>
      </c>
    </row>
    <row r="95" spans="1:18" x14ac:dyDescent="0.25">
      <c r="A95" s="17">
        <v>94</v>
      </c>
      <c r="B95" s="18">
        <v>80662</v>
      </c>
      <c r="C95" s="18">
        <v>68</v>
      </c>
      <c r="D95" s="19" t="s">
        <v>158</v>
      </c>
      <c r="E95" s="19" t="s">
        <v>61</v>
      </c>
      <c r="F95" s="18">
        <v>4</v>
      </c>
      <c r="G95" s="19" t="s">
        <v>16</v>
      </c>
      <c r="H95" s="19">
        <v>19.38</v>
      </c>
      <c r="I95" s="19">
        <v>30.98</v>
      </c>
      <c r="J95" s="18">
        <v>50.36</v>
      </c>
      <c r="K95" s="20">
        <v>332.52</v>
      </c>
      <c r="N95">
        <f t="shared" si="8"/>
        <v>80662</v>
      </c>
      <c r="O95">
        <f>IF(AND(A95&gt;0,A95&lt;999),IFERROR(VLOOKUP(results0125[[#This Row],[Card]],U14M[],1,FALSE),0),0)</f>
        <v>80662</v>
      </c>
      <c r="P95">
        <f t="shared" si="9"/>
        <v>94</v>
      </c>
      <c r="Q95" s="5">
        <f t="shared" si="10"/>
        <v>70</v>
      </c>
      <c r="R95" s="5">
        <f t="shared" si="11"/>
        <v>104</v>
      </c>
    </row>
    <row r="96" spans="1:18" x14ac:dyDescent="0.25">
      <c r="A96" s="13">
        <v>999</v>
      </c>
      <c r="B96" s="14">
        <v>82143</v>
      </c>
      <c r="C96" s="14">
        <v>9</v>
      </c>
      <c r="D96" s="15" t="s">
        <v>111</v>
      </c>
      <c r="E96" s="15" t="s">
        <v>112</v>
      </c>
      <c r="F96" s="14">
        <v>5</v>
      </c>
      <c r="G96" s="15" t="s">
        <v>16</v>
      </c>
      <c r="H96" s="15" t="s">
        <v>220</v>
      </c>
      <c r="I96" s="15" t="s">
        <v>215</v>
      </c>
      <c r="J96" s="14"/>
      <c r="K96" s="16">
        <v>0</v>
      </c>
      <c r="N96">
        <f t="shared" si="8"/>
        <v>82143</v>
      </c>
      <c r="O96">
        <f>IF(AND(A96&gt;0,A96&lt;999),IFERROR(VLOOKUP(results0125[[#This Row],[Card]],U14M[],1,FALSE),0),0)</f>
        <v>0</v>
      </c>
      <c r="P96">
        <f t="shared" si="9"/>
        <v>999</v>
      </c>
      <c r="Q96" s="5">
        <f t="shared" si="10"/>
        <v>999</v>
      </c>
      <c r="R96" s="5">
        <f t="shared" si="11"/>
        <v>999</v>
      </c>
    </row>
    <row r="97" spans="1:18" x14ac:dyDescent="0.25">
      <c r="A97" s="17">
        <v>999</v>
      </c>
      <c r="B97" s="18">
        <v>80669</v>
      </c>
      <c r="C97" s="18">
        <v>11</v>
      </c>
      <c r="D97" s="19" t="s">
        <v>70</v>
      </c>
      <c r="E97" s="19" t="s">
        <v>15</v>
      </c>
      <c r="F97" s="18">
        <v>4</v>
      </c>
      <c r="G97" s="19" t="s">
        <v>16</v>
      </c>
      <c r="H97" s="19" t="s">
        <v>220</v>
      </c>
      <c r="I97" s="19">
        <v>17.64</v>
      </c>
      <c r="J97" s="18"/>
      <c r="K97" s="20">
        <v>0</v>
      </c>
      <c r="N97">
        <f t="shared" si="8"/>
        <v>80669</v>
      </c>
      <c r="O97">
        <f>IF(AND(A97&gt;0,A97&lt;999),IFERROR(VLOOKUP(results0125[[#This Row],[Card]],U14M[],1,FALSE),0),0)</f>
        <v>0</v>
      </c>
      <c r="P97">
        <f t="shared" si="9"/>
        <v>999</v>
      </c>
      <c r="Q97" s="5">
        <f t="shared" si="10"/>
        <v>999</v>
      </c>
      <c r="R97" s="5">
        <f t="shared" si="11"/>
        <v>10</v>
      </c>
    </row>
    <row r="98" spans="1:18" x14ac:dyDescent="0.25">
      <c r="A98" s="13">
        <v>999</v>
      </c>
      <c r="B98" s="14">
        <v>80610</v>
      </c>
      <c r="C98" s="14">
        <v>21</v>
      </c>
      <c r="D98" s="15" t="s">
        <v>219</v>
      </c>
      <c r="E98" s="15" t="s">
        <v>15</v>
      </c>
      <c r="F98" s="14">
        <v>5</v>
      </c>
      <c r="G98" s="15" t="s">
        <v>16</v>
      </c>
      <c r="H98" s="15" t="s">
        <v>220</v>
      </c>
      <c r="I98" s="15" t="s">
        <v>215</v>
      </c>
      <c r="J98" s="14"/>
      <c r="K98" s="16">
        <v>0</v>
      </c>
      <c r="N98">
        <f t="shared" ref="N98:N117" si="12">B98</f>
        <v>80610</v>
      </c>
      <c r="O98">
        <f>IF(AND(A98&gt;0,A98&lt;999),IFERROR(VLOOKUP(results0125[[#This Row],[Card]],U14M[],1,FALSE),0),0)</f>
        <v>0</v>
      </c>
      <c r="P98">
        <f t="shared" ref="P98:P117" si="13">A98</f>
        <v>999</v>
      </c>
      <c r="Q98" s="5">
        <f t="shared" ref="Q98:Q117" si="14">IFERROR(_xlfn.RANK.EQ(H98,$H$2:$H$117,1),999)</f>
        <v>999</v>
      </c>
      <c r="R98" s="5">
        <f t="shared" ref="R98:R117" si="15">IFERROR(_xlfn.RANK.EQ(I98,$I$2:$I$117,1),999)</f>
        <v>999</v>
      </c>
    </row>
    <row r="99" spans="1:18" x14ac:dyDescent="0.25">
      <c r="A99" s="17">
        <v>999</v>
      </c>
      <c r="B99" s="18">
        <v>85235</v>
      </c>
      <c r="C99" s="18">
        <v>35</v>
      </c>
      <c r="D99" s="19" t="s">
        <v>46</v>
      </c>
      <c r="E99" s="19" t="s">
        <v>47</v>
      </c>
      <c r="F99" s="18">
        <v>4</v>
      </c>
      <c r="G99" s="19" t="s">
        <v>16</v>
      </c>
      <c r="H99" s="19" t="s">
        <v>220</v>
      </c>
      <c r="I99" s="19">
        <v>18.11</v>
      </c>
      <c r="J99" s="18"/>
      <c r="K99" s="20">
        <v>0</v>
      </c>
      <c r="N99">
        <f t="shared" si="12"/>
        <v>85235</v>
      </c>
      <c r="O99">
        <f>IF(AND(A99&gt;0,A99&lt;999),IFERROR(VLOOKUP(results0125[[#This Row],[Card]],U14M[],1,FALSE),0),0)</f>
        <v>0</v>
      </c>
      <c r="P99">
        <f t="shared" si="13"/>
        <v>999</v>
      </c>
      <c r="Q99" s="5">
        <f t="shared" si="14"/>
        <v>999</v>
      </c>
      <c r="R99" s="5">
        <f t="shared" si="15"/>
        <v>25</v>
      </c>
    </row>
    <row r="100" spans="1:18" x14ac:dyDescent="0.25">
      <c r="A100" s="13">
        <v>999</v>
      </c>
      <c r="B100" s="14">
        <v>80683</v>
      </c>
      <c r="C100" s="14">
        <v>37</v>
      </c>
      <c r="D100" s="15" t="s">
        <v>67</v>
      </c>
      <c r="E100" s="15" t="s">
        <v>15</v>
      </c>
      <c r="F100" s="14">
        <v>4</v>
      </c>
      <c r="G100" s="15" t="s">
        <v>16</v>
      </c>
      <c r="H100" s="15" t="s">
        <v>220</v>
      </c>
      <c r="I100" s="15">
        <v>18.18</v>
      </c>
      <c r="J100" s="14"/>
      <c r="K100" s="16">
        <v>0</v>
      </c>
      <c r="N100">
        <f t="shared" si="12"/>
        <v>80683</v>
      </c>
      <c r="O100">
        <f>IF(AND(A100&gt;0,A100&lt;999),IFERROR(VLOOKUP(results0125[[#This Row],[Card]],U14M[],1,FALSE),0),0)</f>
        <v>0</v>
      </c>
      <c r="P100">
        <f t="shared" si="13"/>
        <v>999</v>
      </c>
      <c r="Q100" s="5">
        <f t="shared" si="14"/>
        <v>999</v>
      </c>
      <c r="R100" s="5">
        <f t="shared" si="15"/>
        <v>28</v>
      </c>
    </row>
    <row r="101" spans="1:18" x14ac:dyDescent="0.25">
      <c r="A101" s="17">
        <v>999</v>
      </c>
      <c r="B101" s="18">
        <v>86143</v>
      </c>
      <c r="C101" s="18">
        <v>39</v>
      </c>
      <c r="D101" s="19" t="s">
        <v>125</v>
      </c>
      <c r="E101" s="19" t="s">
        <v>42</v>
      </c>
      <c r="F101" s="18">
        <v>4</v>
      </c>
      <c r="G101" s="19" t="s">
        <v>16</v>
      </c>
      <c r="H101" s="19" t="s">
        <v>220</v>
      </c>
      <c r="I101" s="19">
        <v>18.399999999999999</v>
      </c>
      <c r="J101" s="18"/>
      <c r="K101" s="20">
        <v>0</v>
      </c>
      <c r="N101">
        <f t="shared" si="12"/>
        <v>86143</v>
      </c>
      <c r="O101">
        <f>IF(AND(A101&gt;0,A101&lt;999),IFERROR(VLOOKUP(results0125[[#This Row],[Card]],U14M[],1,FALSE),0),0)</f>
        <v>0</v>
      </c>
      <c r="P101">
        <f t="shared" si="13"/>
        <v>999</v>
      </c>
      <c r="Q101" s="5">
        <f t="shared" si="14"/>
        <v>999</v>
      </c>
      <c r="R101" s="5">
        <f t="shared" si="15"/>
        <v>38</v>
      </c>
    </row>
    <row r="102" spans="1:18" x14ac:dyDescent="0.25">
      <c r="A102" s="13">
        <v>999</v>
      </c>
      <c r="B102" s="14">
        <v>77422</v>
      </c>
      <c r="C102" s="14">
        <v>41</v>
      </c>
      <c r="D102" s="15" t="s">
        <v>84</v>
      </c>
      <c r="E102" s="15" t="s">
        <v>54</v>
      </c>
      <c r="F102" s="14">
        <v>4</v>
      </c>
      <c r="G102" s="15" t="s">
        <v>16</v>
      </c>
      <c r="H102" s="15" t="s">
        <v>220</v>
      </c>
      <c r="I102" s="15">
        <v>18.190000000000001</v>
      </c>
      <c r="J102" s="14"/>
      <c r="K102" s="16">
        <v>0</v>
      </c>
      <c r="N102">
        <f t="shared" si="12"/>
        <v>77422</v>
      </c>
      <c r="O102">
        <f>IF(AND(A102&gt;0,A102&lt;999),IFERROR(VLOOKUP(results0125[[#This Row],[Card]],U14M[],1,FALSE),0),0)</f>
        <v>0</v>
      </c>
      <c r="P102">
        <f t="shared" si="13"/>
        <v>999</v>
      </c>
      <c r="Q102" s="5">
        <f t="shared" si="14"/>
        <v>999</v>
      </c>
      <c r="R102" s="5">
        <f t="shared" si="15"/>
        <v>29</v>
      </c>
    </row>
    <row r="103" spans="1:18" x14ac:dyDescent="0.25">
      <c r="A103" s="17">
        <v>999</v>
      </c>
      <c r="B103" s="18">
        <v>77214</v>
      </c>
      <c r="C103" s="18">
        <v>43</v>
      </c>
      <c r="D103" s="19" t="s">
        <v>154</v>
      </c>
      <c r="E103" s="19" t="s">
        <v>155</v>
      </c>
      <c r="F103" s="18">
        <v>5</v>
      </c>
      <c r="G103" s="19" t="s">
        <v>16</v>
      </c>
      <c r="H103" s="19" t="s">
        <v>220</v>
      </c>
      <c r="I103" s="19">
        <v>19.32</v>
      </c>
      <c r="J103" s="18"/>
      <c r="K103" s="20">
        <v>0</v>
      </c>
      <c r="N103">
        <f t="shared" si="12"/>
        <v>77214</v>
      </c>
      <c r="O103">
        <f>IF(AND(A103&gt;0,A103&lt;999),IFERROR(VLOOKUP(results0125[[#This Row],[Card]],U14M[],1,FALSE),0),0)</f>
        <v>0</v>
      </c>
      <c r="P103">
        <f t="shared" si="13"/>
        <v>999</v>
      </c>
      <c r="Q103" s="5">
        <f t="shared" si="14"/>
        <v>999</v>
      </c>
      <c r="R103" s="5">
        <f t="shared" si="15"/>
        <v>70</v>
      </c>
    </row>
    <row r="104" spans="1:18" x14ac:dyDescent="0.25">
      <c r="A104" s="13">
        <v>999</v>
      </c>
      <c r="B104" s="14">
        <v>82441</v>
      </c>
      <c r="C104" s="14">
        <v>44</v>
      </c>
      <c r="D104" s="15" t="s">
        <v>96</v>
      </c>
      <c r="E104" s="15" t="s">
        <v>15</v>
      </c>
      <c r="F104" s="14">
        <v>4</v>
      </c>
      <c r="G104" s="15" t="s">
        <v>16</v>
      </c>
      <c r="H104" s="15" t="s">
        <v>220</v>
      </c>
      <c r="I104" s="15">
        <v>18.16</v>
      </c>
      <c r="J104" s="14"/>
      <c r="K104" s="16">
        <v>0</v>
      </c>
      <c r="N104">
        <f t="shared" si="12"/>
        <v>82441</v>
      </c>
      <c r="O104">
        <f>IF(AND(A104&gt;0,A104&lt;999),IFERROR(VLOOKUP(results0125[[#This Row],[Card]],U14M[],1,FALSE),0),0)</f>
        <v>0</v>
      </c>
      <c r="P104">
        <f t="shared" si="13"/>
        <v>999</v>
      </c>
      <c r="Q104" s="5">
        <f t="shared" si="14"/>
        <v>999</v>
      </c>
      <c r="R104" s="5">
        <f t="shared" si="15"/>
        <v>26</v>
      </c>
    </row>
    <row r="105" spans="1:18" x14ac:dyDescent="0.25">
      <c r="A105" s="17">
        <v>999</v>
      </c>
      <c r="B105" s="18">
        <v>82224</v>
      </c>
      <c r="C105" s="18">
        <v>67</v>
      </c>
      <c r="D105" s="19" t="s">
        <v>190</v>
      </c>
      <c r="E105" s="19" t="s">
        <v>101</v>
      </c>
      <c r="F105" s="18">
        <v>4</v>
      </c>
      <c r="G105" s="19" t="s">
        <v>16</v>
      </c>
      <c r="H105" s="19" t="s">
        <v>220</v>
      </c>
      <c r="I105" s="19" t="s">
        <v>215</v>
      </c>
      <c r="J105" s="18"/>
      <c r="K105" s="20">
        <v>0</v>
      </c>
      <c r="N105">
        <f t="shared" si="12"/>
        <v>82224</v>
      </c>
      <c r="O105">
        <f>IF(AND(A105&gt;0,A105&lt;999),IFERROR(VLOOKUP(results0125[[#This Row],[Card]],U14M[],1,FALSE),0),0)</f>
        <v>0</v>
      </c>
      <c r="P105">
        <f t="shared" si="13"/>
        <v>999</v>
      </c>
      <c r="Q105" s="5">
        <f t="shared" si="14"/>
        <v>999</v>
      </c>
      <c r="R105" s="5">
        <f t="shared" si="15"/>
        <v>999</v>
      </c>
    </row>
    <row r="106" spans="1:18" x14ac:dyDescent="0.25">
      <c r="A106" s="13">
        <v>999</v>
      </c>
      <c r="B106" s="14">
        <v>84752</v>
      </c>
      <c r="C106" s="14">
        <v>77</v>
      </c>
      <c r="D106" s="15" t="s">
        <v>140</v>
      </c>
      <c r="E106" s="15" t="s">
        <v>15</v>
      </c>
      <c r="F106" s="14">
        <v>5</v>
      </c>
      <c r="G106" s="15" t="s">
        <v>16</v>
      </c>
      <c r="H106" s="15" t="s">
        <v>220</v>
      </c>
      <c r="I106" s="15">
        <v>18.440000000000001</v>
      </c>
      <c r="J106" s="14"/>
      <c r="K106" s="16">
        <v>0</v>
      </c>
      <c r="N106">
        <f t="shared" si="12"/>
        <v>84752</v>
      </c>
      <c r="O106">
        <f>IF(AND(A106&gt;0,A106&lt;999),IFERROR(VLOOKUP(results0125[[#This Row],[Card]],U14M[],1,FALSE),0),0)</f>
        <v>0</v>
      </c>
      <c r="P106">
        <f t="shared" si="13"/>
        <v>999</v>
      </c>
      <c r="Q106" s="5">
        <f t="shared" si="14"/>
        <v>999</v>
      </c>
      <c r="R106" s="5">
        <f t="shared" si="15"/>
        <v>42</v>
      </c>
    </row>
    <row r="107" spans="1:18" x14ac:dyDescent="0.25">
      <c r="A107" s="17">
        <v>999</v>
      </c>
      <c r="B107" s="18">
        <v>82403</v>
      </c>
      <c r="C107" s="18">
        <v>86</v>
      </c>
      <c r="D107" s="19" t="s">
        <v>175</v>
      </c>
      <c r="E107" s="19" t="s">
        <v>19</v>
      </c>
      <c r="F107" s="18">
        <v>5</v>
      </c>
      <c r="G107" s="19" t="s">
        <v>16</v>
      </c>
      <c r="H107" s="19" t="s">
        <v>220</v>
      </c>
      <c r="I107" s="19" t="s">
        <v>215</v>
      </c>
      <c r="J107" s="18"/>
      <c r="K107" s="20">
        <v>0</v>
      </c>
      <c r="N107">
        <f t="shared" si="12"/>
        <v>82403</v>
      </c>
      <c r="O107">
        <f>IF(AND(A107&gt;0,A107&lt;999),IFERROR(VLOOKUP(results0125[[#This Row],[Card]],U14M[],1,FALSE),0),0)</f>
        <v>0</v>
      </c>
      <c r="P107">
        <f t="shared" si="13"/>
        <v>999</v>
      </c>
      <c r="Q107" s="5">
        <f t="shared" si="14"/>
        <v>999</v>
      </c>
      <c r="R107" s="5">
        <f t="shared" si="15"/>
        <v>999</v>
      </c>
    </row>
    <row r="108" spans="1:18" x14ac:dyDescent="0.25">
      <c r="A108" s="13">
        <v>999</v>
      </c>
      <c r="B108" s="14">
        <v>85950</v>
      </c>
      <c r="C108" s="14">
        <v>92</v>
      </c>
      <c r="D108" s="15" t="s">
        <v>206</v>
      </c>
      <c r="E108" s="15" t="s">
        <v>31</v>
      </c>
      <c r="F108" s="14">
        <v>4</v>
      </c>
      <c r="G108" s="15" t="s">
        <v>16</v>
      </c>
      <c r="H108" s="15" t="s">
        <v>220</v>
      </c>
      <c r="I108" s="15">
        <v>20.74</v>
      </c>
      <c r="J108" s="14"/>
      <c r="K108" s="16">
        <v>0</v>
      </c>
      <c r="N108">
        <f t="shared" si="12"/>
        <v>85950</v>
      </c>
      <c r="O108">
        <f>IF(AND(A108&gt;0,A108&lt;999),IFERROR(VLOOKUP(results0125[[#This Row],[Card]],U14M[],1,FALSE),0),0)</f>
        <v>0</v>
      </c>
      <c r="P108">
        <f t="shared" si="13"/>
        <v>999</v>
      </c>
      <c r="Q108" s="5">
        <f t="shared" si="14"/>
        <v>999</v>
      </c>
      <c r="R108" s="5">
        <f t="shared" si="15"/>
        <v>96</v>
      </c>
    </row>
    <row r="109" spans="1:18" x14ac:dyDescent="0.25">
      <c r="A109" s="17">
        <v>999</v>
      </c>
      <c r="B109" s="18">
        <v>86207</v>
      </c>
      <c r="C109" s="18">
        <v>97</v>
      </c>
      <c r="D109" s="19" t="s">
        <v>294</v>
      </c>
      <c r="E109" s="19" t="s">
        <v>54</v>
      </c>
      <c r="F109" s="18">
        <v>5</v>
      </c>
      <c r="G109" s="19" t="s">
        <v>16</v>
      </c>
      <c r="H109" s="19" t="s">
        <v>220</v>
      </c>
      <c r="I109" s="19">
        <v>20.14</v>
      </c>
      <c r="J109" s="18"/>
      <c r="K109" s="20">
        <v>0</v>
      </c>
      <c r="N109">
        <f t="shared" si="12"/>
        <v>86207</v>
      </c>
      <c r="O109">
        <f>IF(AND(A109&gt;0,A109&lt;999),IFERROR(VLOOKUP(results0125[[#This Row],[Card]],U14M[],1,FALSE),0),0)</f>
        <v>0</v>
      </c>
      <c r="P109">
        <f t="shared" si="13"/>
        <v>999</v>
      </c>
      <c r="Q109" s="5">
        <f t="shared" si="14"/>
        <v>999</v>
      </c>
      <c r="R109" s="5">
        <f t="shared" si="15"/>
        <v>91</v>
      </c>
    </row>
    <row r="110" spans="1:18" x14ac:dyDescent="0.25">
      <c r="A110" s="13">
        <v>999</v>
      </c>
      <c r="B110" s="14">
        <v>80809</v>
      </c>
      <c r="C110" s="14">
        <v>22</v>
      </c>
      <c r="D110" s="15" t="s">
        <v>53</v>
      </c>
      <c r="E110" s="15" t="s">
        <v>54</v>
      </c>
      <c r="F110" s="14">
        <v>4</v>
      </c>
      <c r="G110" s="15" t="s">
        <v>16</v>
      </c>
      <c r="H110" s="15">
        <v>17.41</v>
      </c>
      <c r="I110" s="15" t="s">
        <v>220</v>
      </c>
      <c r="J110" s="14"/>
      <c r="K110" s="16">
        <v>0</v>
      </c>
      <c r="N110">
        <f t="shared" si="12"/>
        <v>80809</v>
      </c>
      <c r="O110">
        <f>IF(AND(A110&gt;0,A110&lt;999),IFERROR(VLOOKUP(results0125[[#This Row],[Card]],U14M[],1,FALSE),0),0)</f>
        <v>0</v>
      </c>
      <c r="P110">
        <f t="shared" si="13"/>
        <v>999</v>
      </c>
      <c r="Q110" s="5">
        <f t="shared" si="14"/>
        <v>7</v>
      </c>
      <c r="R110" s="5">
        <f t="shared" si="15"/>
        <v>999</v>
      </c>
    </row>
    <row r="111" spans="1:18" x14ac:dyDescent="0.25">
      <c r="A111" s="17">
        <v>999</v>
      </c>
      <c r="B111" s="18">
        <v>80824</v>
      </c>
      <c r="C111" s="18">
        <v>26</v>
      </c>
      <c r="D111" s="19" t="s">
        <v>80</v>
      </c>
      <c r="E111" s="19" t="s">
        <v>54</v>
      </c>
      <c r="F111" s="18">
        <v>4</v>
      </c>
      <c r="G111" s="19" t="s">
        <v>16</v>
      </c>
      <c r="H111" s="19">
        <v>19.29</v>
      </c>
      <c r="I111" s="19" t="s">
        <v>220</v>
      </c>
      <c r="J111" s="18"/>
      <c r="K111" s="20">
        <v>0</v>
      </c>
      <c r="N111">
        <f t="shared" si="12"/>
        <v>80824</v>
      </c>
      <c r="O111">
        <f>IF(AND(A111&gt;0,A111&lt;999),IFERROR(VLOOKUP(results0125[[#This Row],[Card]],U14M[],1,FALSE),0),0)</f>
        <v>0</v>
      </c>
      <c r="P111">
        <f t="shared" si="13"/>
        <v>999</v>
      </c>
      <c r="Q111" s="5">
        <f t="shared" si="14"/>
        <v>67</v>
      </c>
      <c r="R111" s="5">
        <f t="shared" si="15"/>
        <v>999</v>
      </c>
    </row>
    <row r="112" spans="1:18" x14ac:dyDescent="0.25">
      <c r="A112" s="13">
        <v>999</v>
      </c>
      <c r="B112" s="14">
        <v>80628</v>
      </c>
      <c r="C112" s="14">
        <v>31</v>
      </c>
      <c r="D112" s="15" t="s">
        <v>58</v>
      </c>
      <c r="E112" s="15" t="s">
        <v>19</v>
      </c>
      <c r="F112" s="14">
        <v>4</v>
      </c>
      <c r="G112" s="15" t="s">
        <v>16</v>
      </c>
      <c r="H112" s="15">
        <v>18.02</v>
      </c>
      <c r="I112" s="15" t="s">
        <v>220</v>
      </c>
      <c r="J112" s="14"/>
      <c r="K112" s="16">
        <v>0</v>
      </c>
      <c r="N112">
        <f t="shared" si="12"/>
        <v>80628</v>
      </c>
      <c r="O112">
        <f>IF(AND(A112&gt;0,A112&lt;999),IFERROR(VLOOKUP(results0125[[#This Row],[Card]],U14M[],1,FALSE),0),0)</f>
        <v>0</v>
      </c>
      <c r="P112">
        <f t="shared" si="13"/>
        <v>999</v>
      </c>
      <c r="Q112" s="5">
        <f t="shared" si="14"/>
        <v>30</v>
      </c>
      <c r="R112" s="5">
        <f t="shared" si="15"/>
        <v>999</v>
      </c>
    </row>
    <row r="113" spans="1:18" x14ac:dyDescent="0.25">
      <c r="A113" s="17">
        <v>999</v>
      </c>
      <c r="B113" s="18">
        <v>81139</v>
      </c>
      <c r="C113" s="18">
        <v>53</v>
      </c>
      <c r="D113" s="19" t="s">
        <v>177</v>
      </c>
      <c r="E113" s="19" t="s">
        <v>22</v>
      </c>
      <c r="F113" s="18">
        <v>4</v>
      </c>
      <c r="G113" s="19" t="s">
        <v>16</v>
      </c>
      <c r="H113" s="19">
        <v>18.84</v>
      </c>
      <c r="I113" s="19" t="s">
        <v>220</v>
      </c>
      <c r="J113" s="18"/>
      <c r="K113" s="20">
        <v>0</v>
      </c>
      <c r="N113">
        <f t="shared" si="12"/>
        <v>81139</v>
      </c>
      <c r="O113">
        <f>IF(AND(A113&gt;0,A113&lt;999),IFERROR(VLOOKUP(results0125[[#This Row],[Card]],U14M[],1,FALSE),0),0)</f>
        <v>0</v>
      </c>
      <c r="P113">
        <f t="shared" si="13"/>
        <v>999</v>
      </c>
      <c r="Q113" s="5">
        <f t="shared" si="14"/>
        <v>53</v>
      </c>
      <c r="R113" s="5">
        <f t="shared" si="15"/>
        <v>999</v>
      </c>
    </row>
    <row r="114" spans="1:18" x14ac:dyDescent="0.25">
      <c r="A114" s="13">
        <v>999</v>
      </c>
      <c r="B114" s="14">
        <v>85448</v>
      </c>
      <c r="C114" s="14">
        <v>63</v>
      </c>
      <c r="D114" s="15" t="s">
        <v>224</v>
      </c>
      <c r="E114" s="15" t="s">
        <v>101</v>
      </c>
      <c r="F114" s="14">
        <v>4</v>
      </c>
      <c r="G114" s="15" t="s">
        <v>16</v>
      </c>
      <c r="H114" s="15">
        <v>18.93</v>
      </c>
      <c r="I114" s="15" t="s">
        <v>220</v>
      </c>
      <c r="J114" s="14"/>
      <c r="K114" s="16">
        <v>0</v>
      </c>
      <c r="N114">
        <f t="shared" si="12"/>
        <v>85448</v>
      </c>
      <c r="O114">
        <f>IF(AND(A114&gt;0,A114&lt;999),IFERROR(VLOOKUP(results0125[[#This Row],[Card]],U14M[],1,FALSE),0),0)</f>
        <v>0</v>
      </c>
      <c r="P114">
        <f t="shared" si="13"/>
        <v>999</v>
      </c>
      <c r="Q114" s="5">
        <f t="shared" si="14"/>
        <v>58</v>
      </c>
      <c r="R114" s="5">
        <f t="shared" si="15"/>
        <v>999</v>
      </c>
    </row>
    <row r="115" spans="1:18" x14ac:dyDescent="0.25">
      <c r="A115" s="17">
        <v>999</v>
      </c>
      <c r="B115" s="18">
        <v>84692</v>
      </c>
      <c r="C115" s="18">
        <v>85</v>
      </c>
      <c r="D115" s="19" t="s">
        <v>173</v>
      </c>
      <c r="E115" s="19" t="s">
        <v>22</v>
      </c>
      <c r="F115" s="18">
        <v>4</v>
      </c>
      <c r="G115" s="19" t="s">
        <v>16</v>
      </c>
      <c r="H115" s="19">
        <v>19.66</v>
      </c>
      <c r="I115" s="19" t="s">
        <v>220</v>
      </c>
      <c r="J115" s="18"/>
      <c r="K115" s="20">
        <v>0</v>
      </c>
      <c r="N115">
        <f t="shared" si="12"/>
        <v>84692</v>
      </c>
      <c r="O115">
        <f>IF(AND(A115&gt;0,A115&lt;999),IFERROR(VLOOKUP(results0125[[#This Row],[Card]],U14M[],1,FALSE),0),0)</f>
        <v>0</v>
      </c>
      <c r="P115">
        <f t="shared" si="13"/>
        <v>999</v>
      </c>
      <c r="Q115" s="5">
        <f t="shared" si="14"/>
        <v>79</v>
      </c>
      <c r="R115" s="5">
        <f t="shared" si="15"/>
        <v>999</v>
      </c>
    </row>
    <row r="116" spans="1:18" x14ac:dyDescent="0.25">
      <c r="A116" s="13">
        <v>999</v>
      </c>
      <c r="B116" s="14">
        <v>81112</v>
      </c>
      <c r="C116" s="14">
        <v>88</v>
      </c>
      <c r="D116" s="15" t="s">
        <v>63</v>
      </c>
      <c r="E116" s="15" t="s">
        <v>22</v>
      </c>
      <c r="F116" s="14">
        <v>4</v>
      </c>
      <c r="G116" s="15" t="s">
        <v>16</v>
      </c>
      <c r="H116" s="15">
        <v>18.8</v>
      </c>
      <c r="I116" s="15" t="s">
        <v>220</v>
      </c>
      <c r="J116" s="14"/>
      <c r="K116" s="16">
        <v>0</v>
      </c>
      <c r="N116">
        <f t="shared" si="12"/>
        <v>81112</v>
      </c>
      <c r="O116">
        <f>IF(AND(A116&gt;0,A116&lt;999),IFERROR(VLOOKUP(results0125[[#This Row],[Card]],U14M[],1,FALSE),0),0)</f>
        <v>0</v>
      </c>
      <c r="P116">
        <f t="shared" si="13"/>
        <v>999</v>
      </c>
      <c r="Q116" s="5">
        <f t="shared" si="14"/>
        <v>52</v>
      </c>
      <c r="R116" s="5">
        <f t="shared" si="15"/>
        <v>999</v>
      </c>
    </row>
    <row r="117" spans="1:18" x14ac:dyDescent="0.25">
      <c r="A117" s="6">
        <v>999</v>
      </c>
      <c r="B117" s="7">
        <v>81322</v>
      </c>
      <c r="C117" s="7">
        <v>24</v>
      </c>
      <c r="D117" s="8" t="s">
        <v>72</v>
      </c>
      <c r="E117" s="8" t="s">
        <v>22</v>
      </c>
      <c r="F117" s="7">
        <v>4</v>
      </c>
      <c r="G117" s="8" t="s">
        <v>16</v>
      </c>
      <c r="H117" s="8">
        <v>27.58</v>
      </c>
      <c r="I117" s="8" t="s">
        <v>383</v>
      </c>
      <c r="J117" s="7"/>
      <c r="K117" s="9">
        <v>0</v>
      </c>
      <c r="N117">
        <f t="shared" si="12"/>
        <v>81322</v>
      </c>
      <c r="O117">
        <f>IF(AND(A117&gt;0,A117&lt;999),IFERROR(VLOOKUP(results0125[[#This Row],[Card]],U14M[],1,FALSE),0),0)</f>
        <v>0</v>
      </c>
      <c r="P117">
        <f t="shared" si="13"/>
        <v>999</v>
      </c>
      <c r="Q117" s="5">
        <f t="shared" si="14"/>
        <v>102</v>
      </c>
      <c r="R117" s="5">
        <f t="shared" si="15"/>
        <v>999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workbookViewId="0">
      <selection activeCell="R11" sqref="R11"/>
    </sheetView>
  </sheetViews>
  <sheetFormatPr defaultRowHeight="15" x14ac:dyDescent="0.25"/>
  <cols>
    <col min="1" max="1" width="7.42578125" bestFit="1" customWidth="1"/>
    <col min="2" max="2" width="7.140625" bestFit="1" customWidth="1"/>
    <col min="3" max="3" width="5.85546875" bestFit="1" customWidth="1"/>
    <col min="4" max="4" width="24.5703125" bestFit="1" customWidth="1"/>
    <col min="5" max="5" width="7" bestFit="1" customWidth="1"/>
    <col min="6" max="6" width="6.7109375" bestFit="1" customWidth="1"/>
    <col min="7" max="7" width="10.7109375" bestFit="1" customWidth="1"/>
    <col min="8" max="8" width="9.42578125" bestFit="1" customWidth="1"/>
    <col min="9" max="9" width="9.7109375" bestFit="1" customWidth="1"/>
    <col min="10" max="10" width="12" bestFit="1" customWidth="1"/>
    <col min="11" max="11" width="8.42578125" bestFit="1" customWidth="1"/>
    <col min="17" max="18" width="11.85546875" customWidth="1"/>
  </cols>
  <sheetData>
    <row r="1" spans="1:18" ht="14.45" x14ac:dyDescent="0.3">
      <c r="A1" s="10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N1" s="21" t="s">
        <v>3</v>
      </c>
      <c r="O1" s="21" t="s">
        <v>226</v>
      </c>
      <c r="P1" s="21" t="s">
        <v>8</v>
      </c>
      <c r="Q1" s="21" t="s">
        <v>605</v>
      </c>
      <c r="R1" s="21" t="s">
        <v>606</v>
      </c>
    </row>
    <row r="2" spans="1:18" ht="14.45" x14ac:dyDescent="0.3">
      <c r="A2" s="13">
        <v>1</v>
      </c>
      <c r="B2" s="14">
        <v>77368</v>
      </c>
      <c r="C2" s="14">
        <v>79</v>
      </c>
      <c r="D2" s="15" t="s">
        <v>35</v>
      </c>
      <c r="E2" s="15" t="s">
        <v>15</v>
      </c>
      <c r="F2" s="14">
        <v>4</v>
      </c>
      <c r="G2" s="15" t="s">
        <v>16</v>
      </c>
      <c r="H2" s="15">
        <v>41.25</v>
      </c>
      <c r="I2" s="15">
        <v>39.96</v>
      </c>
      <c r="J2" s="15" t="s">
        <v>733</v>
      </c>
      <c r="K2" s="16">
        <v>0</v>
      </c>
      <c r="N2">
        <f t="shared" ref="N2:N33" si="0">B2</f>
        <v>77368</v>
      </c>
      <c r="O2">
        <f>IF(AND(A2&gt;0,A2&lt;999),IFERROR(VLOOKUP(results0123[[#This Row],[Card]],U14M[],1,FALSE),0),0)</f>
        <v>77368</v>
      </c>
      <c r="P2">
        <f t="shared" ref="P2:P33" si="1">A2</f>
        <v>1</v>
      </c>
      <c r="Q2">
        <f t="shared" ref="Q2:Q33" si="2">IFERROR(_xlfn.RANK.EQ(H2,$H$2:$H$117,1),999)</f>
        <v>3</v>
      </c>
      <c r="R2">
        <f t="shared" ref="R2:R33" si="3">IFERROR(_xlfn.RANK.EQ(I2,$I$2:$I$117,1),999)</f>
        <v>1</v>
      </c>
    </row>
    <row r="3" spans="1:18" ht="14.45" x14ac:dyDescent="0.3">
      <c r="A3" s="17">
        <v>2</v>
      </c>
      <c r="B3" s="18">
        <v>78517</v>
      </c>
      <c r="C3" s="18">
        <v>8</v>
      </c>
      <c r="D3" s="19" t="s">
        <v>14</v>
      </c>
      <c r="E3" s="19" t="s">
        <v>15</v>
      </c>
      <c r="F3" s="18">
        <v>4</v>
      </c>
      <c r="G3" s="19" t="s">
        <v>16</v>
      </c>
      <c r="H3" s="19">
        <v>41.22</v>
      </c>
      <c r="I3" s="19">
        <v>40.590000000000003</v>
      </c>
      <c r="J3" s="19" t="s">
        <v>409</v>
      </c>
      <c r="K3" s="20">
        <v>7.24</v>
      </c>
      <c r="N3">
        <f t="shared" si="0"/>
        <v>78517</v>
      </c>
      <c r="O3">
        <f>IF(AND(A3&gt;0,A3&lt;999),IFERROR(VLOOKUP(results0123[[#This Row],[Card]],U14M[],1,FALSE),0),0)</f>
        <v>78517</v>
      </c>
      <c r="P3">
        <f t="shared" si="1"/>
        <v>2</v>
      </c>
      <c r="Q3">
        <f t="shared" si="2"/>
        <v>2</v>
      </c>
      <c r="R3">
        <f t="shared" si="3"/>
        <v>4</v>
      </c>
    </row>
    <row r="4" spans="1:18" ht="14.45" x14ac:dyDescent="0.3">
      <c r="A4" s="13">
        <v>3</v>
      </c>
      <c r="B4" s="14">
        <v>80680</v>
      </c>
      <c r="C4" s="14">
        <v>50</v>
      </c>
      <c r="D4" s="15" t="s">
        <v>28</v>
      </c>
      <c r="E4" s="15" t="s">
        <v>15</v>
      </c>
      <c r="F4" s="14">
        <v>4</v>
      </c>
      <c r="G4" s="15" t="s">
        <v>16</v>
      </c>
      <c r="H4" s="15">
        <v>41.13</v>
      </c>
      <c r="I4" s="15">
        <v>40.81</v>
      </c>
      <c r="J4" s="15" t="s">
        <v>734</v>
      </c>
      <c r="K4" s="16">
        <v>8.81</v>
      </c>
      <c r="N4">
        <f t="shared" si="0"/>
        <v>80680</v>
      </c>
      <c r="O4">
        <f>IF(AND(A4&gt;0,A4&lt;999),IFERROR(VLOOKUP(results0123[[#This Row],[Card]],U14M[],1,FALSE),0),0)</f>
        <v>80680</v>
      </c>
      <c r="P4">
        <f t="shared" si="1"/>
        <v>3</v>
      </c>
      <c r="Q4">
        <f t="shared" si="2"/>
        <v>1</v>
      </c>
      <c r="R4">
        <f t="shared" si="3"/>
        <v>6</v>
      </c>
    </row>
    <row r="5" spans="1:18" ht="14.45" x14ac:dyDescent="0.3">
      <c r="A5" s="17">
        <v>4</v>
      </c>
      <c r="B5" s="18">
        <v>80610</v>
      </c>
      <c r="C5" s="18">
        <v>97</v>
      </c>
      <c r="D5" s="19" t="s">
        <v>219</v>
      </c>
      <c r="E5" s="19" t="s">
        <v>15</v>
      </c>
      <c r="F5" s="18">
        <v>5</v>
      </c>
      <c r="G5" s="19" t="s">
        <v>16</v>
      </c>
      <c r="H5" s="19">
        <v>42.04</v>
      </c>
      <c r="I5" s="19">
        <v>40.380000000000003</v>
      </c>
      <c r="J5" s="19" t="s">
        <v>735</v>
      </c>
      <c r="K5" s="20">
        <v>14.6</v>
      </c>
      <c r="N5">
        <f t="shared" si="0"/>
        <v>80610</v>
      </c>
      <c r="O5">
        <f>IF(AND(A5&gt;0,A5&lt;999),IFERROR(VLOOKUP(results0123[[#This Row],[Card]],U14M[],1,FALSE),0),0)</f>
        <v>80610</v>
      </c>
      <c r="P5">
        <f t="shared" si="1"/>
        <v>4</v>
      </c>
      <c r="Q5">
        <f t="shared" si="2"/>
        <v>8</v>
      </c>
      <c r="R5">
        <f t="shared" si="3"/>
        <v>2</v>
      </c>
    </row>
    <row r="6" spans="1:18" ht="14.45" x14ac:dyDescent="0.3">
      <c r="A6" s="13">
        <v>5</v>
      </c>
      <c r="B6" s="14">
        <v>78200</v>
      </c>
      <c r="C6" s="14">
        <v>45</v>
      </c>
      <c r="D6" s="15" t="s">
        <v>49</v>
      </c>
      <c r="E6" s="15" t="s">
        <v>31</v>
      </c>
      <c r="F6" s="14">
        <v>5</v>
      </c>
      <c r="G6" s="15" t="s">
        <v>16</v>
      </c>
      <c r="H6" s="15">
        <v>41.58</v>
      </c>
      <c r="I6" s="15">
        <v>40.93</v>
      </c>
      <c r="J6" s="15" t="s">
        <v>736</v>
      </c>
      <c r="K6" s="16">
        <v>15.69</v>
      </c>
      <c r="N6">
        <f t="shared" si="0"/>
        <v>78200</v>
      </c>
      <c r="O6">
        <f>IF(AND(A6&gt;0,A6&lt;999),IFERROR(VLOOKUP(results0123[[#This Row],[Card]],U14M[],1,FALSE),0),0)</f>
        <v>78200</v>
      </c>
      <c r="P6">
        <f t="shared" si="1"/>
        <v>5</v>
      </c>
      <c r="Q6">
        <f t="shared" si="2"/>
        <v>5</v>
      </c>
      <c r="R6">
        <f t="shared" si="3"/>
        <v>7</v>
      </c>
    </row>
    <row r="7" spans="1:18" ht="14.45" x14ac:dyDescent="0.3">
      <c r="A7" s="17">
        <v>6</v>
      </c>
      <c r="B7" s="18">
        <v>80713</v>
      </c>
      <c r="C7" s="18">
        <v>22</v>
      </c>
      <c r="D7" s="19" t="s">
        <v>21</v>
      </c>
      <c r="E7" s="19" t="s">
        <v>22</v>
      </c>
      <c r="F7" s="18">
        <v>4</v>
      </c>
      <c r="G7" s="19" t="s">
        <v>16</v>
      </c>
      <c r="H7" s="19">
        <v>41.64</v>
      </c>
      <c r="I7" s="19">
        <v>40.98</v>
      </c>
      <c r="J7" s="19" t="s">
        <v>737</v>
      </c>
      <c r="K7" s="20">
        <v>17.02</v>
      </c>
      <c r="N7">
        <f t="shared" si="0"/>
        <v>80713</v>
      </c>
      <c r="O7">
        <f>IF(AND(A7&gt;0,A7&lt;999),IFERROR(VLOOKUP(results0123[[#This Row],[Card]],U14M[],1,FALSE),0),0)</f>
        <v>80713</v>
      </c>
      <c r="P7">
        <f t="shared" si="1"/>
        <v>6</v>
      </c>
      <c r="Q7">
        <f t="shared" si="2"/>
        <v>7</v>
      </c>
      <c r="R7">
        <f t="shared" si="3"/>
        <v>8</v>
      </c>
    </row>
    <row r="8" spans="1:18" ht="14.45" x14ac:dyDescent="0.3">
      <c r="A8" s="13">
        <v>7</v>
      </c>
      <c r="B8" s="14">
        <v>80717</v>
      </c>
      <c r="C8" s="14">
        <v>96</v>
      </c>
      <c r="D8" s="15" t="s">
        <v>26</v>
      </c>
      <c r="E8" s="15" t="s">
        <v>22</v>
      </c>
      <c r="F8" s="14">
        <v>4</v>
      </c>
      <c r="G8" s="15" t="s">
        <v>16</v>
      </c>
      <c r="H8" s="15">
        <v>42.13</v>
      </c>
      <c r="I8" s="15">
        <v>40.549999999999997</v>
      </c>
      <c r="J8" s="15" t="s">
        <v>738</v>
      </c>
      <c r="K8" s="16">
        <v>17.739999999999998</v>
      </c>
      <c r="N8">
        <f t="shared" si="0"/>
        <v>80717</v>
      </c>
      <c r="O8">
        <f>IF(AND(A8&gt;0,A8&lt;999),IFERROR(VLOOKUP(results0123[[#This Row],[Card]],U14M[],1,FALSE),0),0)</f>
        <v>80717</v>
      </c>
      <c r="P8">
        <f t="shared" si="1"/>
        <v>7</v>
      </c>
      <c r="Q8">
        <f t="shared" si="2"/>
        <v>9</v>
      </c>
      <c r="R8">
        <f t="shared" si="3"/>
        <v>3</v>
      </c>
    </row>
    <row r="9" spans="1:18" ht="14.45" x14ac:dyDescent="0.3">
      <c r="A9" s="17">
        <v>8</v>
      </c>
      <c r="B9" s="18">
        <v>81073</v>
      </c>
      <c r="C9" s="18">
        <v>77</v>
      </c>
      <c r="D9" s="19" t="s">
        <v>40</v>
      </c>
      <c r="E9" s="19" t="s">
        <v>15</v>
      </c>
      <c r="F9" s="18">
        <v>4</v>
      </c>
      <c r="G9" s="19" t="s">
        <v>16</v>
      </c>
      <c r="H9" s="19">
        <v>42.21</v>
      </c>
      <c r="I9" s="19">
        <v>40.75</v>
      </c>
      <c r="J9" s="19" t="s">
        <v>739</v>
      </c>
      <c r="K9" s="20">
        <v>21.12</v>
      </c>
      <c r="N9">
        <f t="shared" si="0"/>
        <v>81073</v>
      </c>
      <c r="O9">
        <f>IF(AND(A9&gt;0,A9&lt;999),IFERROR(VLOOKUP(results0123[[#This Row],[Card]],U14M[],1,FALSE),0),0)</f>
        <v>81073</v>
      </c>
      <c r="P9">
        <f t="shared" si="1"/>
        <v>8</v>
      </c>
      <c r="Q9">
        <f t="shared" si="2"/>
        <v>10</v>
      </c>
      <c r="R9">
        <f t="shared" si="3"/>
        <v>5</v>
      </c>
    </row>
    <row r="10" spans="1:18" ht="14.45" x14ac:dyDescent="0.3">
      <c r="A10" s="13">
        <v>9</v>
      </c>
      <c r="B10" s="14">
        <v>84829</v>
      </c>
      <c r="C10" s="14">
        <v>3</v>
      </c>
      <c r="D10" s="15" t="s">
        <v>68</v>
      </c>
      <c r="E10" s="15" t="s">
        <v>15</v>
      </c>
      <c r="F10" s="14">
        <v>5</v>
      </c>
      <c r="G10" s="15" t="s">
        <v>16</v>
      </c>
      <c r="H10" s="15">
        <v>41.54</v>
      </c>
      <c r="I10" s="15">
        <v>41.45</v>
      </c>
      <c r="J10" s="15" t="s">
        <v>740</v>
      </c>
      <c r="K10" s="16">
        <v>21.48</v>
      </c>
      <c r="N10">
        <f t="shared" si="0"/>
        <v>84829</v>
      </c>
      <c r="O10">
        <f>IF(AND(A10&gt;0,A10&lt;999),IFERROR(VLOOKUP(results0123[[#This Row],[Card]],U14M[],1,FALSE),0),0)</f>
        <v>84829</v>
      </c>
      <c r="P10">
        <f t="shared" si="1"/>
        <v>9</v>
      </c>
      <c r="Q10">
        <f t="shared" si="2"/>
        <v>4</v>
      </c>
      <c r="R10">
        <f t="shared" si="3"/>
        <v>14</v>
      </c>
    </row>
    <row r="11" spans="1:18" ht="14.45" x14ac:dyDescent="0.3">
      <c r="A11" s="17">
        <v>10</v>
      </c>
      <c r="B11" s="18">
        <v>80715</v>
      </c>
      <c r="C11" s="18">
        <v>75</v>
      </c>
      <c r="D11" s="19" t="s">
        <v>65</v>
      </c>
      <c r="E11" s="19" t="s">
        <v>22</v>
      </c>
      <c r="F11" s="18">
        <v>4</v>
      </c>
      <c r="G11" s="19" t="s">
        <v>16</v>
      </c>
      <c r="H11" s="19">
        <v>42.22</v>
      </c>
      <c r="I11" s="19">
        <v>41.08</v>
      </c>
      <c r="J11" s="19" t="s">
        <v>741</v>
      </c>
      <c r="K11" s="20">
        <v>25.22</v>
      </c>
      <c r="N11">
        <f t="shared" si="0"/>
        <v>80715</v>
      </c>
      <c r="O11">
        <f>IF(AND(A11&gt;0,A11&lt;999),IFERROR(VLOOKUP(results0123[[#This Row],[Card]],U14M[],1,FALSE),0),0)</f>
        <v>80715</v>
      </c>
      <c r="P11">
        <f t="shared" si="1"/>
        <v>10</v>
      </c>
      <c r="Q11">
        <f t="shared" si="2"/>
        <v>11</v>
      </c>
      <c r="R11">
        <f t="shared" si="3"/>
        <v>10</v>
      </c>
    </row>
    <row r="12" spans="1:18" ht="14.45" x14ac:dyDescent="0.3">
      <c r="A12" s="13">
        <v>11</v>
      </c>
      <c r="B12" s="14">
        <v>80722</v>
      </c>
      <c r="C12" s="14">
        <v>18</v>
      </c>
      <c r="D12" s="15" t="s">
        <v>33</v>
      </c>
      <c r="E12" s="15" t="s">
        <v>22</v>
      </c>
      <c r="F12" s="14">
        <v>4</v>
      </c>
      <c r="G12" s="15" t="s">
        <v>16</v>
      </c>
      <c r="H12" s="15">
        <v>42.4</v>
      </c>
      <c r="I12" s="15">
        <v>41.03</v>
      </c>
      <c r="J12" s="15" t="s">
        <v>742</v>
      </c>
      <c r="K12" s="16">
        <v>26.79</v>
      </c>
      <c r="N12">
        <f t="shared" si="0"/>
        <v>80722</v>
      </c>
      <c r="O12">
        <f>IF(AND(A12&gt;0,A12&lt;999),IFERROR(VLOOKUP(results0123[[#This Row],[Card]],U14M[],1,FALSE),0),0)</f>
        <v>80722</v>
      </c>
      <c r="P12">
        <f t="shared" si="1"/>
        <v>11</v>
      </c>
      <c r="Q12">
        <f t="shared" si="2"/>
        <v>13</v>
      </c>
      <c r="R12">
        <f t="shared" si="3"/>
        <v>9</v>
      </c>
    </row>
    <row r="13" spans="1:18" ht="14.45" x14ac:dyDescent="0.3">
      <c r="A13" s="17">
        <v>12</v>
      </c>
      <c r="B13" s="18">
        <v>80683</v>
      </c>
      <c r="C13" s="18">
        <v>44</v>
      </c>
      <c r="D13" s="19" t="s">
        <v>67</v>
      </c>
      <c r="E13" s="19" t="s">
        <v>15</v>
      </c>
      <c r="F13" s="18">
        <v>4</v>
      </c>
      <c r="G13" s="19" t="s">
        <v>16</v>
      </c>
      <c r="H13" s="19">
        <v>42.41</v>
      </c>
      <c r="I13" s="19">
        <v>41.21</v>
      </c>
      <c r="J13" s="19" t="s">
        <v>743</v>
      </c>
      <c r="K13" s="20">
        <v>29.08</v>
      </c>
      <c r="N13">
        <f t="shared" si="0"/>
        <v>80683</v>
      </c>
      <c r="O13">
        <f>IF(AND(A13&gt;0,A13&lt;999),IFERROR(VLOOKUP(results0123[[#This Row],[Card]],U14M[],1,FALSE),0),0)</f>
        <v>80683</v>
      </c>
      <c r="P13">
        <f t="shared" si="1"/>
        <v>12</v>
      </c>
      <c r="Q13">
        <f t="shared" si="2"/>
        <v>14</v>
      </c>
      <c r="R13">
        <f t="shared" si="3"/>
        <v>11</v>
      </c>
    </row>
    <row r="14" spans="1:18" ht="14.45" x14ac:dyDescent="0.3">
      <c r="A14" s="13">
        <v>13</v>
      </c>
      <c r="B14" s="14">
        <v>77422</v>
      </c>
      <c r="C14" s="14">
        <v>90</v>
      </c>
      <c r="D14" s="15" t="s">
        <v>84</v>
      </c>
      <c r="E14" s="15" t="s">
        <v>54</v>
      </c>
      <c r="F14" s="14">
        <v>4</v>
      </c>
      <c r="G14" s="15" t="s">
        <v>16</v>
      </c>
      <c r="H14" s="15">
        <v>42.65</v>
      </c>
      <c r="I14" s="15">
        <v>41.3</v>
      </c>
      <c r="J14" s="15" t="s">
        <v>744</v>
      </c>
      <c r="K14" s="16">
        <v>33.06</v>
      </c>
      <c r="N14">
        <f t="shared" si="0"/>
        <v>77422</v>
      </c>
      <c r="O14">
        <f>IF(AND(A14&gt;0,A14&lt;999),IFERROR(VLOOKUP(results0123[[#This Row],[Card]],U14M[],1,FALSE),0),0)</f>
        <v>77422</v>
      </c>
      <c r="P14">
        <f t="shared" si="1"/>
        <v>13</v>
      </c>
      <c r="Q14">
        <f t="shared" si="2"/>
        <v>17</v>
      </c>
      <c r="R14">
        <f t="shared" si="3"/>
        <v>12</v>
      </c>
    </row>
    <row r="15" spans="1:18" ht="14.45" x14ac:dyDescent="0.3">
      <c r="A15" s="17">
        <v>14</v>
      </c>
      <c r="B15" s="18">
        <v>76653</v>
      </c>
      <c r="C15" s="18">
        <v>11</v>
      </c>
      <c r="D15" s="19" t="s">
        <v>37</v>
      </c>
      <c r="E15" s="19" t="s">
        <v>38</v>
      </c>
      <c r="F15" s="18">
        <v>4</v>
      </c>
      <c r="G15" s="19" t="s">
        <v>16</v>
      </c>
      <c r="H15" s="19">
        <v>42.66</v>
      </c>
      <c r="I15" s="19">
        <v>41.62</v>
      </c>
      <c r="J15" s="19" t="s">
        <v>424</v>
      </c>
      <c r="K15" s="20">
        <v>37.049999999999997</v>
      </c>
      <c r="N15">
        <f t="shared" si="0"/>
        <v>76653</v>
      </c>
      <c r="O15">
        <f>IF(AND(A15&gt;0,A15&lt;999),IFERROR(VLOOKUP(results0123[[#This Row],[Card]],U14M[],1,FALSE),0),0)</f>
        <v>76653</v>
      </c>
      <c r="P15">
        <f t="shared" si="1"/>
        <v>14</v>
      </c>
      <c r="Q15">
        <f t="shared" si="2"/>
        <v>18</v>
      </c>
      <c r="R15">
        <f t="shared" si="3"/>
        <v>16</v>
      </c>
    </row>
    <row r="16" spans="1:18" ht="14.45" x14ac:dyDescent="0.3">
      <c r="A16" s="13">
        <v>15</v>
      </c>
      <c r="B16" s="14">
        <v>81108</v>
      </c>
      <c r="C16" s="14">
        <v>93</v>
      </c>
      <c r="D16" s="15" t="s">
        <v>44</v>
      </c>
      <c r="E16" s="15" t="s">
        <v>22</v>
      </c>
      <c r="F16" s="14">
        <v>5</v>
      </c>
      <c r="G16" s="15" t="s">
        <v>16</v>
      </c>
      <c r="H16" s="15">
        <v>42.52</v>
      </c>
      <c r="I16" s="15">
        <v>41.97</v>
      </c>
      <c r="J16" s="15" t="s">
        <v>745</v>
      </c>
      <c r="K16" s="16">
        <v>39.58</v>
      </c>
      <c r="N16">
        <f t="shared" si="0"/>
        <v>81108</v>
      </c>
      <c r="O16">
        <f>IF(AND(A16&gt;0,A16&lt;999),IFERROR(VLOOKUP(results0123[[#This Row],[Card]],U14M[],1,FALSE),0),0)</f>
        <v>81108</v>
      </c>
      <c r="P16">
        <f t="shared" si="1"/>
        <v>15</v>
      </c>
      <c r="Q16">
        <f t="shared" si="2"/>
        <v>15</v>
      </c>
      <c r="R16">
        <f t="shared" si="3"/>
        <v>20</v>
      </c>
    </row>
    <row r="17" spans="1:18" ht="14.45" x14ac:dyDescent="0.3">
      <c r="A17" s="17">
        <v>16</v>
      </c>
      <c r="B17" s="18">
        <v>80625</v>
      </c>
      <c r="C17" s="18">
        <v>102</v>
      </c>
      <c r="D17" s="19" t="s">
        <v>76</v>
      </c>
      <c r="E17" s="19" t="s">
        <v>19</v>
      </c>
      <c r="F17" s="18">
        <v>4</v>
      </c>
      <c r="G17" s="19" t="s">
        <v>16</v>
      </c>
      <c r="H17" s="19">
        <v>43.03</v>
      </c>
      <c r="I17" s="19">
        <v>41.63</v>
      </c>
      <c r="J17" s="19" t="s">
        <v>746</v>
      </c>
      <c r="K17" s="20">
        <v>41.63</v>
      </c>
      <c r="N17">
        <f t="shared" si="0"/>
        <v>80625</v>
      </c>
      <c r="O17">
        <f>IF(AND(A17&gt;0,A17&lt;999),IFERROR(VLOOKUP(results0123[[#This Row],[Card]],U14M[],1,FALSE),0),0)</f>
        <v>80625</v>
      </c>
      <c r="P17">
        <f t="shared" si="1"/>
        <v>16</v>
      </c>
      <c r="Q17">
        <f t="shared" si="2"/>
        <v>23</v>
      </c>
      <c r="R17">
        <f t="shared" si="3"/>
        <v>17</v>
      </c>
    </row>
    <row r="18" spans="1:18" ht="14.45" x14ac:dyDescent="0.3">
      <c r="A18" s="13">
        <v>17</v>
      </c>
      <c r="B18" s="14">
        <v>80824</v>
      </c>
      <c r="C18" s="14">
        <v>115</v>
      </c>
      <c r="D18" s="15" t="s">
        <v>80</v>
      </c>
      <c r="E18" s="15" t="s">
        <v>54</v>
      </c>
      <c r="F18" s="14">
        <v>4</v>
      </c>
      <c r="G18" s="15" t="s">
        <v>16</v>
      </c>
      <c r="H18" s="15">
        <v>43.25</v>
      </c>
      <c r="I18" s="15">
        <v>41.44</v>
      </c>
      <c r="J18" s="15" t="s">
        <v>747</v>
      </c>
      <c r="K18" s="16">
        <v>41.99</v>
      </c>
      <c r="N18">
        <f t="shared" si="0"/>
        <v>80824</v>
      </c>
      <c r="O18">
        <f>IF(AND(A18&gt;0,A18&lt;999),IFERROR(VLOOKUP(results0123[[#This Row],[Card]],U14M[],1,FALSE),0),0)</f>
        <v>80824</v>
      </c>
      <c r="P18">
        <f t="shared" si="1"/>
        <v>17</v>
      </c>
      <c r="Q18">
        <f t="shared" si="2"/>
        <v>29</v>
      </c>
      <c r="R18">
        <f t="shared" si="3"/>
        <v>13</v>
      </c>
    </row>
    <row r="19" spans="1:18" ht="14.45" x14ac:dyDescent="0.3">
      <c r="A19" s="17">
        <v>18</v>
      </c>
      <c r="B19" s="18">
        <v>84763</v>
      </c>
      <c r="C19" s="18">
        <v>86</v>
      </c>
      <c r="D19" s="19" t="s">
        <v>103</v>
      </c>
      <c r="E19" s="19" t="s">
        <v>15</v>
      </c>
      <c r="F19" s="18">
        <v>5</v>
      </c>
      <c r="G19" s="19" t="s">
        <v>16</v>
      </c>
      <c r="H19" s="19">
        <v>43.25</v>
      </c>
      <c r="I19" s="19">
        <v>41.56</v>
      </c>
      <c r="J19" s="19" t="s">
        <v>748</v>
      </c>
      <c r="K19" s="20">
        <v>43.44</v>
      </c>
      <c r="N19">
        <f t="shared" si="0"/>
        <v>84763</v>
      </c>
      <c r="O19">
        <f>IF(AND(A19&gt;0,A19&lt;999),IFERROR(VLOOKUP(results0123[[#This Row],[Card]],U14M[],1,FALSE),0),0)</f>
        <v>84763</v>
      </c>
      <c r="P19">
        <f t="shared" si="1"/>
        <v>18</v>
      </c>
      <c r="Q19">
        <f t="shared" si="2"/>
        <v>29</v>
      </c>
      <c r="R19">
        <f t="shared" si="3"/>
        <v>15</v>
      </c>
    </row>
    <row r="20" spans="1:18" ht="14.45" x14ac:dyDescent="0.3">
      <c r="A20" s="13">
        <v>19</v>
      </c>
      <c r="B20" s="14">
        <v>85235</v>
      </c>
      <c r="C20" s="14">
        <v>111</v>
      </c>
      <c r="D20" s="15" t="s">
        <v>46</v>
      </c>
      <c r="E20" s="15" t="s">
        <v>47</v>
      </c>
      <c r="F20" s="14">
        <v>4</v>
      </c>
      <c r="G20" s="15" t="s">
        <v>16</v>
      </c>
      <c r="H20" s="15">
        <v>42.74</v>
      </c>
      <c r="I20" s="15">
        <v>42.1</v>
      </c>
      <c r="J20" s="15" t="s">
        <v>749</v>
      </c>
      <c r="K20" s="16">
        <v>43.8</v>
      </c>
      <c r="N20">
        <f t="shared" si="0"/>
        <v>85235</v>
      </c>
      <c r="O20">
        <f>IF(AND(A20&gt;0,A20&lt;999),IFERROR(VLOOKUP(results0123[[#This Row],[Card]],U14M[],1,FALSE),0),0)</f>
        <v>85235</v>
      </c>
      <c r="P20">
        <f t="shared" si="1"/>
        <v>19</v>
      </c>
      <c r="Q20">
        <f t="shared" si="2"/>
        <v>20</v>
      </c>
      <c r="R20">
        <f t="shared" si="3"/>
        <v>22</v>
      </c>
    </row>
    <row r="21" spans="1:18" ht="14.45" x14ac:dyDescent="0.3">
      <c r="A21" s="17">
        <v>20</v>
      </c>
      <c r="B21" s="18">
        <v>80669</v>
      </c>
      <c r="C21" s="18">
        <v>62</v>
      </c>
      <c r="D21" s="19" t="s">
        <v>70</v>
      </c>
      <c r="E21" s="19" t="s">
        <v>15</v>
      </c>
      <c r="F21" s="18">
        <v>4</v>
      </c>
      <c r="G21" s="19" t="s">
        <v>16</v>
      </c>
      <c r="H21" s="19">
        <v>43.1</v>
      </c>
      <c r="I21" s="19">
        <v>42.11</v>
      </c>
      <c r="J21" s="19" t="s">
        <v>750</v>
      </c>
      <c r="K21" s="20">
        <v>48.27</v>
      </c>
      <c r="N21">
        <f t="shared" si="0"/>
        <v>80669</v>
      </c>
      <c r="O21">
        <f>IF(AND(A21&gt;0,A21&lt;999),IFERROR(VLOOKUP(results0123[[#This Row],[Card]],U14M[],1,FALSE),0),0)</f>
        <v>80669</v>
      </c>
      <c r="P21">
        <f t="shared" si="1"/>
        <v>20</v>
      </c>
      <c r="Q21">
        <f t="shared" si="2"/>
        <v>24</v>
      </c>
      <c r="R21">
        <f t="shared" si="3"/>
        <v>23</v>
      </c>
    </row>
    <row r="22" spans="1:18" ht="14.45" x14ac:dyDescent="0.3">
      <c r="A22" s="13">
        <v>21</v>
      </c>
      <c r="B22" s="14">
        <v>81112</v>
      </c>
      <c r="C22" s="14">
        <v>64</v>
      </c>
      <c r="D22" s="15" t="s">
        <v>63</v>
      </c>
      <c r="E22" s="15" t="s">
        <v>22</v>
      </c>
      <c r="F22" s="14">
        <v>4</v>
      </c>
      <c r="G22" s="15" t="s">
        <v>16</v>
      </c>
      <c r="H22" s="15">
        <v>43.18</v>
      </c>
      <c r="I22" s="15">
        <v>42.05</v>
      </c>
      <c r="J22" s="15" t="s">
        <v>751</v>
      </c>
      <c r="K22" s="16">
        <v>48.51</v>
      </c>
      <c r="N22">
        <f t="shared" si="0"/>
        <v>81112</v>
      </c>
      <c r="O22">
        <f>IF(AND(A22&gt;0,A22&lt;999),IFERROR(VLOOKUP(results0123[[#This Row],[Card]],U14M[],1,FALSE),0),0)</f>
        <v>81112</v>
      </c>
      <c r="P22">
        <f t="shared" si="1"/>
        <v>21</v>
      </c>
      <c r="Q22">
        <f t="shared" si="2"/>
        <v>28</v>
      </c>
      <c r="R22">
        <f t="shared" si="3"/>
        <v>21</v>
      </c>
    </row>
    <row r="23" spans="1:18" ht="14.45" x14ac:dyDescent="0.3">
      <c r="A23" s="17">
        <v>22</v>
      </c>
      <c r="B23" s="18">
        <v>74564</v>
      </c>
      <c r="C23" s="18">
        <v>57</v>
      </c>
      <c r="D23" s="19" t="s">
        <v>100</v>
      </c>
      <c r="E23" s="19" t="s">
        <v>101</v>
      </c>
      <c r="F23" s="18">
        <v>5</v>
      </c>
      <c r="G23" s="19" t="s">
        <v>16</v>
      </c>
      <c r="H23" s="19">
        <v>43.02</v>
      </c>
      <c r="I23" s="19">
        <v>42.28</v>
      </c>
      <c r="J23" s="19" t="s">
        <v>752</v>
      </c>
      <c r="K23" s="20">
        <v>49.36</v>
      </c>
      <c r="N23">
        <f t="shared" si="0"/>
        <v>74564</v>
      </c>
      <c r="O23">
        <f>IF(AND(A23&gt;0,A23&lt;999),IFERROR(VLOOKUP(results0123[[#This Row],[Card]],U14M[],1,FALSE),0),0)</f>
        <v>74564</v>
      </c>
      <c r="P23">
        <f t="shared" si="1"/>
        <v>22</v>
      </c>
      <c r="Q23">
        <f t="shared" si="2"/>
        <v>22</v>
      </c>
      <c r="R23">
        <f t="shared" si="3"/>
        <v>26</v>
      </c>
    </row>
    <row r="24" spans="1:18" ht="14.45" x14ac:dyDescent="0.3">
      <c r="A24" s="13">
        <v>23</v>
      </c>
      <c r="B24" s="14">
        <v>80685</v>
      </c>
      <c r="C24" s="14">
        <v>112</v>
      </c>
      <c r="D24" s="15" t="s">
        <v>74</v>
      </c>
      <c r="E24" s="15" t="s">
        <v>15</v>
      </c>
      <c r="F24" s="14">
        <v>4</v>
      </c>
      <c r="G24" s="15" t="s">
        <v>16</v>
      </c>
      <c r="H24" s="15">
        <v>43.65</v>
      </c>
      <c r="I24" s="15">
        <v>41.72</v>
      </c>
      <c r="J24" s="15" t="s">
        <v>753</v>
      </c>
      <c r="K24" s="16">
        <v>50.2</v>
      </c>
      <c r="N24">
        <f t="shared" si="0"/>
        <v>80685</v>
      </c>
      <c r="O24">
        <f>IF(AND(A24&gt;0,A24&lt;999),IFERROR(VLOOKUP(results0123[[#This Row],[Card]],U14M[],1,FALSE),0),0)</f>
        <v>80685</v>
      </c>
      <c r="P24">
        <f t="shared" si="1"/>
        <v>23</v>
      </c>
      <c r="Q24">
        <f t="shared" si="2"/>
        <v>39</v>
      </c>
      <c r="R24">
        <f t="shared" si="3"/>
        <v>18</v>
      </c>
    </row>
    <row r="25" spans="1:18" ht="14.45" x14ac:dyDescent="0.3">
      <c r="A25" s="17">
        <v>24</v>
      </c>
      <c r="B25" s="18">
        <v>80729</v>
      </c>
      <c r="C25" s="18">
        <v>117</v>
      </c>
      <c r="D25" s="19" t="s">
        <v>90</v>
      </c>
      <c r="E25" s="19" t="s">
        <v>22</v>
      </c>
      <c r="F25" s="18">
        <v>4</v>
      </c>
      <c r="G25" s="19" t="s">
        <v>16</v>
      </c>
      <c r="H25" s="19">
        <v>43.92</v>
      </c>
      <c r="I25" s="19">
        <v>41.8</v>
      </c>
      <c r="J25" s="19" t="s">
        <v>754</v>
      </c>
      <c r="K25" s="20">
        <v>54.42</v>
      </c>
      <c r="N25">
        <f t="shared" si="0"/>
        <v>80729</v>
      </c>
      <c r="O25">
        <f>IF(AND(A25&gt;0,A25&lt;999),IFERROR(VLOOKUP(results0123[[#This Row],[Card]],U14M[],1,FALSE),0),0)</f>
        <v>80729</v>
      </c>
      <c r="P25">
        <f t="shared" si="1"/>
        <v>24</v>
      </c>
      <c r="Q25">
        <f t="shared" si="2"/>
        <v>43</v>
      </c>
      <c r="R25">
        <f t="shared" si="3"/>
        <v>19</v>
      </c>
    </row>
    <row r="26" spans="1:18" ht="14.45" x14ac:dyDescent="0.3">
      <c r="A26" s="13">
        <v>25</v>
      </c>
      <c r="B26" s="14">
        <v>80828</v>
      </c>
      <c r="C26" s="14">
        <v>39</v>
      </c>
      <c r="D26" s="15" t="s">
        <v>88</v>
      </c>
      <c r="E26" s="15" t="s">
        <v>54</v>
      </c>
      <c r="F26" s="14">
        <v>5</v>
      </c>
      <c r="G26" s="15" t="s">
        <v>16</v>
      </c>
      <c r="H26" s="15">
        <v>42.73</v>
      </c>
      <c r="I26" s="15">
        <v>43</v>
      </c>
      <c r="J26" s="15" t="s">
        <v>755</v>
      </c>
      <c r="K26" s="16">
        <v>54.55</v>
      </c>
      <c r="N26">
        <f t="shared" si="0"/>
        <v>80828</v>
      </c>
      <c r="O26">
        <f>IF(AND(A26&gt;0,A26&lt;999),IFERROR(VLOOKUP(results0123[[#This Row],[Card]],U14M[],1,FALSE),0),0)</f>
        <v>80828</v>
      </c>
      <c r="P26">
        <f t="shared" si="1"/>
        <v>25</v>
      </c>
      <c r="Q26">
        <f t="shared" si="2"/>
        <v>19</v>
      </c>
      <c r="R26">
        <f t="shared" si="3"/>
        <v>34</v>
      </c>
    </row>
    <row r="27" spans="1:18" ht="14.45" x14ac:dyDescent="0.3">
      <c r="A27" s="17">
        <v>26</v>
      </c>
      <c r="B27" s="18">
        <v>78610</v>
      </c>
      <c r="C27" s="18">
        <v>104</v>
      </c>
      <c r="D27" s="19" t="s">
        <v>133</v>
      </c>
      <c r="E27" s="19" t="s">
        <v>15</v>
      </c>
      <c r="F27" s="18">
        <v>5</v>
      </c>
      <c r="G27" s="19" t="s">
        <v>16</v>
      </c>
      <c r="H27" s="19">
        <v>43.44</v>
      </c>
      <c r="I27" s="19">
        <v>42.33</v>
      </c>
      <c r="J27" s="19" t="s">
        <v>756</v>
      </c>
      <c r="K27" s="20">
        <v>55.03</v>
      </c>
      <c r="N27">
        <f t="shared" si="0"/>
        <v>78610</v>
      </c>
      <c r="O27">
        <f>IF(AND(A27&gt;0,A27&lt;999),IFERROR(VLOOKUP(results0123[[#This Row],[Card]],U14M[],1,FALSE),0),0)</f>
        <v>78610</v>
      </c>
      <c r="P27">
        <f t="shared" si="1"/>
        <v>26</v>
      </c>
      <c r="Q27">
        <f t="shared" si="2"/>
        <v>32</v>
      </c>
      <c r="R27">
        <f t="shared" si="3"/>
        <v>28</v>
      </c>
    </row>
    <row r="28" spans="1:18" x14ac:dyDescent="0.25">
      <c r="A28" s="13">
        <v>27</v>
      </c>
      <c r="B28" s="14">
        <v>78276</v>
      </c>
      <c r="C28" s="14">
        <v>89</v>
      </c>
      <c r="D28" s="15" t="s">
        <v>92</v>
      </c>
      <c r="E28" s="15" t="s">
        <v>31</v>
      </c>
      <c r="F28" s="14">
        <v>4</v>
      </c>
      <c r="G28" s="15" t="s">
        <v>16</v>
      </c>
      <c r="H28" s="15">
        <v>43.56</v>
      </c>
      <c r="I28" s="15">
        <v>42.24</v>
      </c>
      <c r="J28" s="15" t="s">
        <v>757</v>
      </c>
      <c r="K28" s="16">
        <v>55.39</v>
      </c>
      <c r="N28">
        <f t="shared" si="0"/>
        <v>78276</v>
      </c>
      <c r="O28">
        <f>IF(AND(A28&gt;0,A28&lt;999),IFERROR(VLOOKUP(results0123[[#This Row],[Card]],U14M[],1,FALSE),0),0)</f>
        <v>78276</v>
      </c>
      <c r="P28">
        <f t="shared" si="1"/>
        <v>27</v>
      </c>
      <c r="Q28">
        <f t="shared" si="2"/>
        <v>36</v>
      </c>
      <c r="R28">
        <f t="shared" si="3"/>
        <v>25</v>
      </c>
    </row>
    <row r="29" spans="1:18" x14ac:dyDescent="0.25">
      <c r="A29" s="17">
        <v>28</v>
      </c>
      <c r="B29" s="18">
        <v>82431</v>
      </c>
      <c r="C29" s="18">
        <v>61</v>
      </c>
      <c r="D29" s="19" t="s">
        <v>41</v>
      </c>
      <c r="E29" s="19" t="s">
        <v>42</v>
      </c>
      <c r="F29" s="18">
        <v>4</v>
      </c>
      <c r="G29" s="19" t="s">
        <v>16</v>
      </c>
      <c r="H29" s="19">
        <v>43.44</v>
      </c>
      <c r="I29" s="19">
        <v>42.49</v>
      </c>
      <c r="J29" s="19" t="s">
        <v>758</v>
      </c>
      <c r="K29" s="20">
        <v>56.96</v>
      </c>
      <c r="N29">
        <f t="shared" si="0"/>
        <v>82431</v>
      </c>
      <c r="O29">
        <f>IF(AND(A29&gt;0,A29&lt;999),IFERROR(VLOOKUP(results0123[[#This Row],[Card]],U14M[],1,FALSE),0),0)</f>
        <v>82431</v>
      </c>
      <c r="P29">
        <f t="shared" si="1"/>
        <v>28</v>
      </c>
      <c r="Q29">
        <f t="shared" si="2"/>
        <v>32</v>
      </c>
      <c r="R29">
        <f t="shared" si="3"/>
        <v>31</v>
      </c>
    </row>
    <row r="30" spans="1:18" x14ac:dyDescent="0.25">
      <c r="A30" s="13">
        <v>29</v>
      </c>
      <c r="B30" s="14">
        <v>82440</v>
      </c>
      <c r="C30" s="14">
        <v>51</v>
      </c>
      <c r="D30" s="15" t="s">
        <v>56</v>
      </c>
      <c r="E30" s="15" t="s">
        <v>15</v>
      </c>
      <c r="F30" s="14">
        <v>4</v>
      </c>
      <c r="G30" s="15" t="s">
        <v>16</v>
      </c>
      <c r="H30" s="15">
        <v>43.61</v>
      </c>
      <c r="I30" s="15">
        <v>42.34</v>
      </c>
      <c r="J30" s="15" t="s">
        <v>759</v>
      </c>
      <c r="K30" s="16">
        <v>57.2</v>
      </c>
      <c r="N30">
        <f t="shared" si="0"/>
        <v>82440</v>
      </c>
      <c r="O30">
        <f>IF(AND(A30&gt;0,A30&lt;999),IFERROR(VLOOKUP(results0123[[#This Row],[Card]],U14M[],1,FALSE),0),0)</f>
        <v>82440</v>
      </c>
      <c r="P30">
        <f t="shared" si="1"/>
        <v>29</v>
      </c>
      <c r="Q30">
        <f t="shared" si="2"/>
        <v>38</v>
      </c>
      <c r="R30">
        <f t="shared" si="3"/>
        <v>29</v>
      </c>
    </row>
    <row r="31" spans="1:18" x14ac:dyDescent="0.25">
      <c r="A31" s="17">
        <v>30</v>
      </c>
      <c r="B31" s="18">
        <v>81481</v>
      </c>
      <c r="C31" s="18">
        <v>114</v>
      </c>
      <c r="D31" s="19" t="s">
        <v>182</v>
      </c>
      <c r="E31" s="19" t="s">
        <v>31</v>
      </c>
      <c r="F31" s="18">
        <v>4</v>
      </c>
      <c r="G31" s="19" t="s">
        <v>16</v>
      </c>
      <c r="H31" s="19">
        <v>43.81</v>
      </c>
      <c r="I31" s="19">
        <v>42.17</v>
      </c>
      <c r="J31" s="19" t="s">
        <v>760</v>
      </c>
      <c r="K31" s="20">
        <v>57.56</v>
      </c>
      <c r="N31">
        <f t="shared" si="0"/>
        <v>81481</v>
      </c>
      <c r="O31">
        <f>IF(AND(A31&gt;0,A31&lt;999),IFERROR(VLOOKUP(results0123[[#This Row],[Card]],U14M[],1,FALSE),0),0)</f>
        <v>81481</v>
      </c>
      <c r="P31">
        <f t="shared" si="1"/>
        <v>30</v>
      </c>
      <c r="Q31">
        <f t="shared" si="2"/>
        <v>42</v>
      </c>
      <c r="R31">
        <f t="shared" si="3"/>
        <v>24</v>
      </c>
    </row>
    <row r="32" spans="1:18" x14ac:dyDescent="0.25">
      <c r="A32" s="13">
        <v>31</v>
      </c>
      <c r="B32" s="14">
        <v>81110</v>
      </c>
      <c r="C32" s="14">
        <v>76</v>
      </c>
      <c r="D32" s="15" t="s">
        <v>86</v>
      </c>
      <c r="E32" s="15" t="s">
        <v>22</v>
      </c>
      <c r="F32" s="14">
        <v>5</v>
      </c>
      <c r="G32" s="15" t="s">
        <v>16</v>
      </c>
      <c r="H32" s="15">
        <v>43.67</v>
      </c>
      <c r="I32" s="15">
        <v>42.66</v>
      </c>
      <c r="J32" s="15" t="s">
        <v>761</v>
      </c>
      <c r="K32" s="16">
        <v>61.79</v>
      </c>
      <c r="N32">
        <f t="shared" si="0"/>
        <v>81110</v>
      </c>
      <c r="O32">
        <f>IF(AND(A32&gt;0,A32&lt;999),IFERROR(VLOOKUP(results0123[[#This Row],[Card]],U14M[],1,FALSE),0),0)</f>
        <v>81110</v>
      </c>
      <c r="P32">
        <f t="shared" si="1"/>
        <v>31</v>
      </c>
      <c r="Q32">
        <f t="shared" si="2"/>
        <v>40</v>
      </c>
      <c r="R32">
        <f t="shared" si="3"/>
        <v>32</v>
      </c>
    </row>
    <row r="33" spans="1:18" x14ac:dyDescent="0.25">
      <c r="A33" s="17">
        <v>32</v>
      </c>
      <c r="B33" s="18">
        <v>76572</v>
      </c>
      <c r="C33" s="18">
        <v>21</v>
      </c>
      <c r="D33" s="19" t="s">
        <v>109</v>
      </c>
      <c r="E33" s="19" t="s">
        <v>38</v>
      </c>
      <c r="F33" s="18">
        <v>4</v>
      </c>
      <c r="G33" s="19" t="s">
        <v>16</v>
      </c>
      <c r="H33" s="19">
        <v>43.73</v>
      </c>
      <c r="I33" s="19">
        <v>43.22</v>
      </c>
      <c r="J33" s="19" t="s">
        <v>762</v>
      </c>
      <c r="K33" s="20">
        <v>69.27</v>
      </c>
      <c r="N33">
        <f t="shared" si="0"/>
        <v>76572</v>
      </c>
      <c r="O33">
        <f>IF(AND(A33&gt;0,A33&lt;999),IFERROR(VLOOKUP(results0123[[#This Row],[Card]],U14M[],1,FALSE),0),0)</f>
        <v>76572</v>
      </c>
      <c r="P33">
        <f t="shared" si="1"/>
        <v>32</v>
      </c>
      <c r="Q33">
        <f t="shared" si="2"/>
        <v>41</v>
      </c>
      <c r="R33">
        <f t="shared" si="3"/>
        <v>38</v>
      </c>
    </row>
    <row r="34" spans="1:18" x14ac:dyDescent="0.25">
      <c r="A34" s="13">
        <v>33</v>
      </c>
      <c r="B34" s="14">
        <v>81459</v>
      </c>
      <c r="C34" s="14">
        <v>13</v>
      </c>
      <c r="D34" s="15" t="s">
        <v>225</v>
      </c>
      <c r="E34" s="15" t="s">
        <v>101</v>
      </c>
      <c r="F34" s="14">
        <v>5</v>
      </c>
      <c r="G34" s="15" t="s">
        <v>16</v>
      </c>
      <c r="H34" s="15">
        <v>43.52</v>
      </c>
      <c r="I34" s="15">
        <v>43.49</v>
      </c>
      <c r="J34" s="15" t="s">
        <v>763</v>
      </c>
      <c r="K34" s="16">
        <v>69.989999999999995</v>
      </c>
      <c r="N34">
        <f t="shared" ref="N34:N65" si="4">B34</f>
        <v>81459</v>
      </c>
      <c r="O34">
        <f>IF(AND(A34&gt;0,A34&lt;999),IFERROR(VLOOKUP(results0123[[#This Row],[Card]],U14M[],1,FALSE),0),0)</f>
        <v>81459</v>
      </c>
      <c r="P34">
        <f t="shared" ref="P34:P65" si="5">A34</f>
        <v>33</v>
      </c>
      <c r="Q34">
        <f t="shared" ref="Q34:Q65" si="6">IFERROR(_xlfn.RANK.EQ(H34,$H$2:$H$117,1),999)</f>
        <v>35</v>
      </c>
      <c r="R34">
        <f t="shared" ref="R34:R65" si="7">IFERROR(_xlfn.RANK.EQ(I34,$I$2:$I$117,1),999)</f>
        <v>42</v>
      </c>
    </row>
    <row r="35" spans="1:18" x14ac:dyDescent="0.25">
      <c r="A35" s="17">
        <v>34</v>
      </c>
      <c r="B35" s="18">
        <v>80718</v>
      </c>
      <c r="C35" s="18">
        <v>54</v>
      </c>
      <c r="D35" s="19" t="s">
        <v>94</v>
      </c>
      <c r="E35" s="19" t="s">
        <v>22</v>
      </c>
      <c r="F35" s="18">
        <v>4</v>
      </c>
      <c r="G35" s="19" t="s">
        <v>16</v>
      </c>
      <c r="H35" s="19">
        <v>44.08</v>
      </c>
      <c r="I35" s="19">
        <v>43.12</v>
      </c>
      <c r="J35" s="19" t="s">
        <v>764</v>
      </c>
      <c r="K35" s="20">
        <v>72.28</v>
      </c>
      <c r="N35">
        <f t="shared" si="4"/>
        <v>80718</v>
      </c>
      <c r="O35">
        <f>IF(AND(A35&gt;0,A35&lt;999),IFERROR(VLOOKUP(results0123[[#This Row],[Card]],U14M[],1,FALSE),0),0)</f>
        <v>80718</v>
      </c>
      <c r="P35">
        <f t="shared" si="5"/>
        <v>34</v>
      </c>
      <c r="Q35">
        <f t="shared" si="6"/>
        <v>45</v>
      </c>
      <c r="R35">
        <f t="shared" si="7"/>
        <v>36</v>
      </c>
    </row>
    <row r="36" spans="1:18" x14ac:dyDescent="0.25">
      <c r="A36" s="13">
        <v>34</v>
      </c>
      <c r="B36" s="14">
        <v>82403</v>
      </c>
      <c r="C36" s="14">
        <v>16</v>
      </c>
      <c r="D36" s="15" t="s">
        <v>175</v>
      </c>
      <c r="E36" s="15" t="s">
        <v>19</v>
      </c>
      <c r="F36" s="14">
        <v>5</v>
      </c>
      <c r="G36" s="15" t="s">
        <v>16</v>
      </c>
      <c r="H36" s="15">
        <v>43.28</v>
      </c>
      <c r="I36" s="15">
        <v>43.92</v>
      </c>
      <c r="J36" s="15" t="s">
        <v>764</v>
      </c>
      <c r="K36" s="16">
        <v>72.28</v>
      </c>
      <c r="N36">
        <f t="shared" si="4"/>
        <v>82403</v>
      </c>
      <c r="O36">
        <f>IF(AND(A36&gt;0,A36&lt;999),IFERROR(VLOOKUP(results0123[[#This Row],[Card]],U14M[],1,FALSE),0),0)</f>
        <v>82403</v>
      </c>
      <c r="P36">
        <f t="shared" si="5"/>
        <v>34</v>
      </c>
      <c r="Q36">
        <f t="shared" si="6"/>
        <v>31</v>
      </c>
      <c r="R36">
        <f t="shared" si="7"/>
        <v>51</v>
      </c>
    </row>
    <row r="37" spans="1:18" x14ac:dyDescent="0.25">
      <c r="A37" s="17">
        <v>36</v>
      </c>
      <c r="B37" s="18">
        <v>80724</v>
      </c>
      <c r="C37" s="18">
        <v>28</v>
      </c>
      <c r="D37" s="19" t="s">
        <v>167</v>
      </c>
      <c r="E37" s="19" t="s">
        <v>22</v>
      </c>
      <c r="F37" s="18">
        <v>4</v>
      </c>
      <c r="G37" s="19" t="s">
        <v>16</v>
      </c>
      <c r="H37" s="19">
        <v>44.12</v>
      </c>
      <c r="I37" s="19">
        <v>43.52</v>
      </c>
      <c r="J37" s="19" t="s">
        <v>765</v>
      </c>
      <c r="K37" s="20">
        <v>77.59</v>
      </c>
      <c r="N37">
        <f t="shared" si="4"/>
        <v>80724</v>
      </c>
      <c r="O37">
        <f>IF(AND(A37&gt;0,A37&lt;999),IFERROR(VLOOKUP(results0123[[#This Row],[Card]],U14M[],1,FALSE),0),0)</f>
        <v>80724</v>
      </c>
      <c r="P37">
        <f t="shared" si="5"/>
        <v>36</v>
      </c>
      <c r="Q37">
        <f t="shared" si="6"/>
        <v>47</v>
      </c>
      <c r="R37">
        <f t="shared" si="7"/>
        <v>43</v>
      </c>
    </row>
    <row r="38" spans="1:18" x14ac:dyDescent="0.25">
      <c r="A38" s="13">
        <v>37</v>
      </c>
      <c r="B38" s="14">
        <v>80629</v>
      </c>
      <c r="C38" s="14">
        <v>66</v>
      </c>
      <c r="D38" s="15" t="s">
        <v>144</v>
      </c>
      <c r="E38" s="15" t="s">
        <v>19</v>
      </c>
      <c r="F38" s="14">
        <v>5</v>
      </c>
      <c r="G38" s="15" t="s">
        <v>16</v>
      </c>
      <c r="H38" s="15">
        <v>44.52</v>
      </c>
      <c r="I38" s="15">
        <v>43.26</v>
      </c>
      <c r="J38" s="15" t="s">
        <v>766</v>
      </c>
      <c r="K38" s="16">
        <v>79.28</v>
      </c>
      <c r="N38">
        <f t="shared" si="4"/>
        <v>80629</v>
      </c>
      <c r="O38">
        <f>IF(AND(A38&gt;0,A38&lt;999),IFERROR(VLOOKUP(results0123[[#This Row],[Card]],U14M[],1,FALSE),0),0)</f>
        <v>80629</v>
      </c>
      <c r="P38">
        <f t="shared" si="5"/>
        <v>37</v>
      </c>
      <c r="Q38">
        <f t="shared" si="6"/>
        <v>52</v>
      </c>
      <c r="R38">
        <f t="shared" si="7"/>
        <v>40</v>
      </c>
    </row>
    <row r="39" spans="1:18" x14ac:dyDescent="0.25">
      <c r="A39" s="17">
        <v>38</v>
      </c>
      <c r="B39" s="18">
        <v>78165</v>
      </c>
      <c r="C39" s="18">
        <v>87</v>
      </c>
      <c r="D39" s="19" t="s">
        <v>119</v>
      </c>
      <c r="E39" s="19" t="s">
        <v>61</v>
      </c>
      <c r="F39" s="18">
        <v>4</v>
      </c>
      <c r="G39" s="19" t="s">
        <v>16</v>
      </c>
      <c r="H39" s="19">
        <v>44.54</v>
      </c>
      <c r="I39" s="19">
        <v>43.25</v>
      </c>
      <c r="J39" s="19" t="s">
        <v>767</v>
      </c>
      <c r="K39" s="20">
        <v>79.400000000000006</v>
      </c>
      <c r="N39">
        <f t="shared" si="4"/>
        <v>78165</v>
      </c>
      <c r="O39">
        <f>IF(AND(A39&gt;0,A39&lt;999),IFERROR(VLOOKUP(results0123[[#This Row],[Card]],U14M[],1,FALSE),0),0)</f>
        <v>78165</v>
      </c>
      <c r="P39">
        <f t="shared" si="5"/>
        <v>38</v>
      </c>
      <c r="Q39">
        <f t="shared" si="6"/>
        <v>53</v>
      </c>
      <c r="R39">
        <f t="shared" si="7"/>
        <v>39</v>
      </c>
    </row>
    <row r="40" spans="1:18" x14ac:dyDescent="0.25">
      <c r="A40" s="13">
        <v>39</v>
      </c>
      <c r="B40" s="14">
        <v>80682</v>
      </c>
      <c r="C40" s="14">
        <v>14</v>
      </c>
      <c r="D40" s="15" t="s">
        <v>135</v>
      </c>
      <c r="E40" s="15" t="s">
        <v>15</v>
      </c>
      <c r="F40" s="14">
        <v>4</v>
      </c>
      <c r="G40" s="15" t="s">
        <v>16</v>
      </c>
      <c r="H40" s="15">
        <v>43.98</v>
      </c>
      <c r="I40" s="15">
        <v>43.84</v>
      </c>
      <c r="J40" s="15" t="s">
        <v>768</v>
      </c>
      <c r="K40" s="16">
        <v>79.77</v>
      </c>
      <c r="N40">
        <f t="shared" si="4"/>
        <v>80682</v>
      </c>
      <c r="O40">
        <f>IF(AND(A40&gt;0,A40&lt;999),IFERROR(VLOOKUP(results0123[[#This Row],[Card]],U14M[],1,FALSE),0),0)</f>
        <v>80682</v>
      </c>
      <c r="P40">
        <f t="shared" si="5"/>
        <v>39</v>
      </c>
      <c r="Q40">
        <f t="shared" si="6"/>
        <v>44</v>
      </c>
      <c r="R40">
        <f t="shared" si="7"/>
        <v>48</v>
      </c>
    </row>
    <row r="41" spans="1:18" x14ac:dyDescent="0.25">
      <c r="A41" s="17">
        <v>40</v>
      </c>
      <c r="B41" s="18">
        <v>78164</v>
      </c>
      <c r="C41" s="18">
        <v>32</v>
      </c>
      <c r="D41" s="19" t="s">
        <v>129</v>
      </c>
      <c r="E41" s="19" t="s">
        <v>61</v>
      </c>
      <c r="F41" s="18">
        <v>5</v>
      </c>
      <c r="G41" s="19" t="s">
        <v>16</v>
      </c>
      <c r="H41" s="19">
        <v>44.2</v>
      </c>
      <c r="I41" s="19">
        <v>43.87</v>
      </c>
      <c r="J41" s="19" t="s">
        <v>769</v>
      </c>
      <c r="K41" s="20">
        <v>82.78</v>
      </c>
      <c r="N41">
        <f t="shared" si="4"/>
        <v>78164</v>
      </c>
      <c r="O41">
        <f>IF(AND(A41&gt;0,A41&lt;999),IFERROR(VLOOKUP(results0123[[#This Row],[Card]],U14M[],1,FALSE),0),0)</f>
        <v>78164</v>
      </c>
      <c r="P41">
        <f t="shared" si="5"/>
        <v>40</v>
      </c>
      <c r="Q41">
        <f t="shared" si="6"/>
        <v>48</v>
      </c>
      <c r="R41">
        <f t="shared" si="7"/>
        <v>49</v>
      </c>
    </row>
    <row r="42" spans="1:18" x14ac:dyDescent="0.25">
      <c r="A42" s="13">
        <v>41</v>
      </c>
      <c r="B42" s="14">
        <v>78680</v>
      </c>
      <c r="C42" s="14">
        <v>105</v>
      </c>
      <c r="D42" s="15" t="s">
        <v>127</v>
      </c>
      <c r="E42" s="15" t="s">
        <v>22</v>
      </c>
      <c r="F42" s="14">
        <v>5</v>
      </c>
      <c r="G42" s="15" t="s">
        <v>16</v>
      </c>
      <c r="H42" s="15">
        <v>45.01</v>
      </c>
      <c r="I42" s="15">
        <v>43.13</v>
      </c>
      <c r="J42" s="15" t="s">
        <v>770</v>
      </c>
      <c r="K42" s="16">
        <v>83.63</v>
      </c>
      <c r="N42">
        <f t="shared" si="4"/>
        <v>78680</v>
      </c>
      <c r="O42">
        <f>IF(AND(A42&gt;0,A42&lt;999),IFERROR(VLOOKUP(results0123[[#This Row],[Card]],U14M[],1,FALSE),0),0)</f>
        <v>78680</v>
      </c>
      <c r="P42">
        <f t="shared" si="5"/>
        <v>41</v>
      </c>
      <c r="Q42">
        <f t="shared" si="6"/>
        <v>58</v>
      </c>
      <c r="R42">
        <f t="shared" si="7"/>
        <v>37</v>
      </c>
    </row>
    <row r="43" spans="1:18" x14ac:dyDescent="0.25">
      <c r="A43" s="17">
        <v>42</v>
      </c>
      <c r="B43" s="18">
        <v>81879</v>
      </c>
      <c r="C43" s="18">
        <v>55</v>
      </c>
      <c r="D43" s="19" t="s">
        <v>146</v>
      </c>
      <c r="E43" s="19" t="s">
        <v>22</v>
      </c>
      <c r="F43" s="18">
        <v>5</v>
      </c>
      <c r="G43" s="19" t="s">
        <v>16</v>
      </c>
      <c r="H43" s="19">
        <v>44.35</v>
      </c>
      <c r="I43" s="19">
        <v>43.91</v>
      </c>
      <c r="J43" s="19" t="s">
        <v>235</v>
      </c>
      <c r="K43" s="20">
        <v>85.08</v>
      </c>
      <c r="N43">
        <f t="shared" si="4"/>
        <v>81879</v>
      </c>
      <c r="O43">
        <f>IF(AND(A43&gt;0,A43&lt;999),IFERROR(VLOOKUP(results0123[[#This Row],[Card]],U14M[],1,FALSE),0),0)</f>
        <v>81879</v>
      </c>
      <c r="P43">
        <f t="shared" si="5"/>
        <v>42</v>
      </c>
      <c r="Q43">
        <f t="shared" si="6"/>
        <v>50</v>
      </c>
      <c r="R43">
        <f t="shared" si="7"/>
        <v>50</v>
      </c>
    </row>
    <row r="44" spans="1:18" x14ac:dyDescent="0.25">
      <c r="A44" s="13">
        <v>43</v>
      </c>
      <c r="B44" s="14">
        <v>82328</v>
      </c>
      <c r="C44" s="14">
        <v>41</v>
      </c>
      <c r="D44" s="15" t="s">
        <v>137</v>
      </c>
      <c r="E44" s="15" t="s">
        <v>15</v>
      </c>
      <c r="F44" s="14">
        <v>4</v>
      </c>
      <c r="G44" s="15" t="s">
        <v>16</v>
      </c>
      <c r="H44" s="15">
        <v>44.59</v>
      </c>
      <c r="I44" s="15">
        <v>43.7</v>
      </c>
      <c r="J44" s="15" t="s">
        <v>771</v>
      </c>
      <c r="K44" s="16">
        <v>85.44</v>
      </c>
      <c r="N44">
        <f t="shared" si="4"/>
        <v>82328</v>
      </c>
      <c r="O44">
        <f>IF(AND(A44&gt;0,A44&lt;999),IFERROR(VLOOKUP(results0123[[#This Row],[Card]],U14M[],1,FALSE),0),0)</f>
        <v>82328</v>
      </c>
      <c r="P44">
        <f t="shared" si="5"/>
        <v>43</v>
      </c>
      <c r="Q44">
        <f t="shared" si="6"/>
        <v>54</v>
      </c>
      <c r="R44">
        <f t="shared" si="7"/>
        <v>45</v>
      </c>
    </row>
    <row r="45" spans="1:18" x14ac:dyDescent="0.25">
      <c r="A45" s="17">
        <v>44</v>
      </c>
      <c r="B45" s="18">
        <v>85772</v>
      </c>
      <c r="C45" s="18">
        <v>7</v>
      </c>
      <c r="D45" s="19" t="s">
        <v>196</v>
      </c>
      <c r="E45" s="19" t="s">
        <v>15</v>
      </c>
      <c r="F45" s="18">
        <v>5</v>
      </c>
      <c r="G45" s="19" t="s">
        <v>16</v>
      </c>
      <c r="H45" s="19">
        <v>44.26</v>
      </c>
      <c r="I45" s="19">
        <v>44.1</v>
      </c>
      <c r="J45" s="19" t="s">
        <v>772</v>
      </c>
      <c r="K45" s="20">
        <v>86.28</v>
      </c>
      <c r="N45">
        <f t="shared" si="4"/>
        <v>85772</v>
      </c>
      <c r="O45">
        <f>IF(AND(A45&gt;0,A45&lt;999),IFERROR(VLOOKUP(results0123[[#This Row],[Card]],U14M[],1,FALSE),0),0)</f>
        <v>85772</v>
      </c>
      <c r="P45">
        <f t="shared" si="5"/>
        <v>44</v>
      </c>
      <c r="Q45">
        <f t="shared" si="6"/>
        <v>49</v>
      </c>
      <c r="R45">
        <f t="shared" si="7"/>
        <v>53</v>
      </c>
    </row>
    <row r="46" spans="1:18" x14ac:dyDescent="0.25">
      <c r="A46" s="13">
        <v>45</v>
      </c>
      <c r="B46" s="14">
        <v>86113</v>
      </c>
      <c r="C46" s="14">
        <v>24</v>
      </c>
      <c r="D46" s="15" t="s">
        <v>142</v>
      </c>
      <c r="E46" s="15" t="s">
        <v>101</v>
      </c>
      <c r="F46" s="14">
        <v>5</v>
      </c>
      <c r="G46" s="15" t="s">
        <v>16</v>
      </c>
      <c r="H46" s="15">
        <v>44.11</v>
      </c>
      <c r="I46" s="15">
        <v>44.29</v>
      </c>
      <c r="J46" s="15" t="s">
        <v>773</v>
      </c>
      <c r="K46" s="16">
        <v>86.77</v>
      </c>
      <c r="N46">
        <f t="shared" si="4"/>
        <v>86113</v>
      </c>
      <c r="O46">
        <f>IF(AND(A46&gt;0,A46&lt;999),IFERROR(VLOOKUP(results0123[[#This Row],[Card]],U14M[],1,FALSE),0),0)</f>
        <v>86113</v>
      </c>
      <c r="P46">
        <f t="shared" si="5"/>
        <v>45</v>
      </c>
      <c r="Q46">
        <f t="shared" si="6"/>
        <v>46</v>
      </c>
      <c r="R46">
        <f t="shared" si="7"/>
        <v>56</v>
      </c>
    </row>
    <row r="47" spans="1:18" x14ac:dyDescent="0.25">
      <c r="A47" s="17">
        <v>46</v>
      </c>
      <c r="B47" s="18">
        <v>84722</v>
      </c>
      <c r="C47" s="18">
        <v>116</v>
      </c>
      <c r="D47" s="19" t="s">
        <v>169</v>
      </c>
      <c r="E47" s="19" t="s">
        <v>61</v>
      </c>
      <c r="F47" s="18">
        <v>4</v>
      </c>
      <c r="G47" s="19" t="s">
        <v>16</v>
      </c>
      <c r="H47" s="19">
        <v>45.15</v>
      </c>
      <c r="I47" s="19">
        <v>43.45</v>
      </c>
      <c r="J47" s="19" t="s">
        <v>774</v>
      </c>
      <c r="K47" s="20">
        <v>89.18</v>
      </c>
      <c r="N47">
        <f t="shared" si="4"/>
        <v>84722</v>
      </c>
      <c r="O47">
        <f>IF(AND(A47&gt;0,A47&lt;999),IFERROR(VLOOKUP(results0123[[#This Row],[Card]],U14M[],1,FALSE),0),0)</f>
        <v>84722</v>
      </c>
      <c r="P47">
        <f t="shared" si="5"/>
        <v>46</v>
      </c>
      <c r="Q47">
        <f t="shared" si="6"/>
        <v>62</v>
      </c>
      <c r="R47">
        <f t="shared" si="7"/>
        <v>41</v>
      </c>
    </row>
    <row r="48" spans="1:18" x14ac:dyDescent="0.25">
      <c r="A48" s="13">
        <v>47</v>
      </c>
      <c r="B48" s="14">
        <v>81736</v>
      </c>
      <c r="C48" s="14">
        <v>101</v>
      </c>
      <c r="D48" s="15" t="s">
        <v>184</v>
      </c>
      <c r="E48" s="15" t="s">
        <v>31</v>
      </c>
      <c r="F48" s="14">
        <v>4</v>
      </c>
      <c r="G48" s="15" t="s">
        <v>16</v>
      </c>
      <c r="H48" s="15">
        <v>45.14</v>
      </c>
      <c r="I48" s="15">
        <v>43.65</v>
      </c>
      <c r="J48" s="15" t="s">
        <v>775</v>
      </c>
      <c r="K48" s="16">
        <v>91.47</v>
      </c>
      <c r="N48">
        <f t="shared" si="4"/>
        <v>81736</v>
      </c>
      <c r="O48">
        <f>IF(AND(A48&gt;0,A48&lt;999),IFERROR(VLOOKUP(results0123[[#This Row],[Card]],U14M[],1,FALSE),0),0)</f>
        <v>81736</v>
      </c>
      <c r="P48">
        <f t="shared" si="5"/>
        <v>47</v>
      </c>
      <c r="Q48">
        <f t="shared" si="6"/>
        <v>61</v>
      </c>
      <c r="R48">
        <f t="shared" si="7"/>
        <v>44</v>
      </c>
    </row>
    <row r="49" spans="1:18" x14ac:dyDescent="0.25">
      <c r="A49" s="17">
        <v>48</v>
      </c>
      <c r="B49" s="18">
        <v>78619</v>
      </c>
      <c r="C49" s="18">
        <v>85</v>
      </c>
      <c r="D49" s="19" t="s">
        <v>121</v>
      </c>
      <c r="E49" s="19" t="s">
        <v>61</v>
      </c>
      <c r="F49" s="18">
        <v>4</v>
      </c>
      <c r="G49" s="19" t="s">
        <v>16</v>
      </c>
      <c r="H49" s="19">
        <v>45.26</v>
      </c>
      <c r="I49" s="19">
        <v>43.71</v>
      </c>
      <c r="J49" s="19" t="s">
        <v>776</v>
      </c>
      <c r="K49" s="20">
        <v>93.64</v>
      </c>
      <c r="N49">
        <f t="shared" si="4"/>
        <v>78619</v>
      </c>
      <c r="O49">
        <f>IF(AND(A49&gt;0,A49&lt;999),IFERROR(VLOOKUP(results0123[[#This Row],[Card]],U14M[],1,FALSE),0),0)</f>
        <v>78619</v>
      </c>
      <c r="P49">
        <f t="shared" si="5"/>
        <v>48</v>
      </c>
      <c r="Q49">
        <f t="shared" si="6"/>
        <v>63</v>
      </c>
      <c r="R49">
        <f t="shared" si="7"/>
        <v>46</v>
      </c>
    </row>
    <row r="50" spans="1:18" x14ac:dyDescent="0.25">
      <c r="A50" s="13">
        <v>49</v>
      </c>
      <c r="B50" s="14">
        <v>78181</v>
      </c>
      <c r="C50" s="14">
        <v>81</v>
      </c>
      <c r="D50" s="15" t="s">
        <v>138</v>
      </c>
      <c r="E50" s="15" t="s">
        <v>61</v>
      </c>
      <c r="F50" s="14">
        <v>4</v>
      </c>
      <c r="G50" s="15" t="s">
        <v>16</v>
      </c>
      <c r="H50" s="15">
        <v>45.31</v>
      </c>
      <c r="I50" s="15">
        <v>43.75</v>
      </c>
      <c r="J50" s="15" t="s">
        <v>777</v>
      </c>
      <c r="K50" s="16">
        <v>94.73</v>
      </c>
      <c r="N50">
        <f t="shared" si="4"/>
        <v>78181</v>
      </c>
      <c r="O50">
        <f>IF(AND(A50&gt;0,A50&lt;999),IFERROR(VLOOKUP(results0123[[#This Row],[Card]],U14M[],1,FALSE),0),0)</f>
        <v>78181</v>
      </c>
      <c r="P50">
        <f t="shared" si="5"/>
        <v>49</v>
      </c>
      <c r="Q50">
        <f t="shared" si="6"/>
        <v>65</v>
      </c>
      <c r="R50">
        <f t="shared" si="7"/>
        <v>47</v>
      </c>
    </row>
    <row r="51" spans="1:18" x14ac:dyDescent="0.25">
      <c r="A51" s="17">
        <v>50</v>
      </c>
      <c r="B51" s="18">
        <v>81455</v>
      </c>
      <c r="C51" s="18">
        <v>72</v>
      </c>
      <c r="D51" s="19" t="s">
        <v>171</v>
      </c>
      <c r="E51" s="19" t="s">
        <v>19</v>
      </c>
      <c r="F51" s="18">
        <v>5</v>
      </c>
      <c r="G51" s="19" t="s">
        <v>16</v>
      </c>
      <c r="H51" s="19">
        <v>45.03</v>
      </c>
      <c r="I51" s="19">
        <v>44.1</v>
      </c>
      <c r="J51" s="19" t="s">
        <v>778</v>
      </c>
      <c r="K51" s="20">
        <v>95.57</v>
      </c>
      <c r="N51">
        <f t="shared" si="4"/>
        <v>81455</v>
      </c>
      <c r="O51">
        <f>IF(AND(A51&gt;0,A51&lt;999),IFERROR(VLOOKUP(results0123[[#This Row],[Card]],U14M[],1,FALSE),0),0)</f>
        <v>81455</v>
      </c>
      <c r="P51">
        <f t="shared" si="5"/>
        <v>50</v>
      </c>
      <c r="Q51">
        <f t="shared" si="6"/>
        <v>60</v>
      </c>
      <c r="R51">
        <f t="shared" si="7"/>
        <v>53</v>
      </c>
    </row>
    <row r="52" spans="1:18" x14ac:dyDescent="0.25">
      <c r="A52" s="13">
        <v>51</v>
      </c>
      <c r="B52" s="14">
        <v>80615</v>
      </c>
      <c r="C52" s="14">
        <v>110</v>
      </c>
      <c r="D52" s="15" t="s">
        <v>292</v>
      </c>
      <c r="E52" s="15" t="s">
        <v>19</v>
      </c>
      <c r="F52" s="14">
        <v>4</v>
      </c>
      <c r="G52" s="15" t="s">
        <v>16</v>
      </c>
      <c r="H52" s="15">
        <v>45.01</v>
      </c>
      <c r="I52" s="15">
        <v>44.25</v>
      </c>
      <c r="J52" s="15" t="s">
        <v>779</v>
      </c>
      <c r="K52" s="16">
        <v>97.14</v>
      </c>
      <c r="N52">
        <f t="shared" si="4"/>
        <v>80615</v>
      </c>
      <c r="O52">
        <f>IF(AND(A52&gt;0,A52&lt;999),IFERROR(VLOOKUP(results0123[[#This Row],[Card]],U14M[],1,FALSE),0),0)</f>
        <v>80615</v>
      </c>
      <c r="P52">
        <f t="shared" si="5"/>
        <v>51</v>
      </c>
      <c r="Q52">
        <f t="shared" si="6"/>
        <v>58</v>
      </c>
      <c r="R52">
        <f t="shared" si="7"/>
        <v>55</v>
      </c>
    </row>
    <row r="53" spans="1:18" x14ac:dyDescent="0.25">
      <c r="A53" s="17">
        <v>52</v>
      </c>
      <c r="B53" s="18">
        <v>80618</v>
      </c>
      <c r="C53" s="18">
        <v>33</v>
      </c>
      <c r="D53" s="19" t="s">
        <v>123</v>
      </c>
      <c r="E53" s="19" t="s">
        <v>19</v>
      </c>
      <c r="F53" s="18">
        <v>4</v>
      </c>
      <c r="G53" s="19" t="s">
        <v>16</v>
      </c>
      <c r="H53" s="19">
        <v>46.3</v>
      </c>
      <c r="I53" s="19">
        <v>42.98</v>
      </c>
      <c r="J53" s="19" t="s">
        <v>780</v>
      </c>
      <c r="K53" s="20">
        <v>97.38</v>
      </c>
      <c r="N53">
        <f t="shared" si="4"/>
        <v>80618</v>
      </c>
      <c r="O53">
        <f>IF(AND(A53&gt;0,A53&lt;999),IFERROR(VLOOKUP(results0123[[#This Row],[Card]],U14M[],1,FALSE),0),0)</f>
        <v>80618</v>
      </c>
      <c r="P53">
        <f t="shared" si="5"/>
        <v>52</v>
      </c>
      <c r="Q53">
        <f t="shared" si="6"/>
        <v>81</v>
      </c>
      <c r="R53">
        <f t="shared" si="7"/>
        <v>33</v>
      </c>
    </row>
    <row r="54" spans="1:18" x14ac:dyDescent="0.25">
      <c r="A54" s="13">
        <v>53</v>
      </c>
      <c r="B54" s="14">
        <v>76864</v>
      </c>
      <c r="C54" s="14">
        <v>67</v>
      </c>
      <c r="D54" s="15" t="s">
        <v>107</v>
      </c>
      <c r="E54" s="15" t="s">
        <v>38</v>
      </c>
      <c r="F54" s="14">
        <v>4</v>
      </c>
      <c r="G54" s="15" t="s">
        <v>16</v>
      </c>
      <c r="H54" s="15">
        <v>45.61</v>
      </c>
      <c r="I54" s="15">
        <v>44.09</v>
      </c>
      <c r="J54" s="15" t="s">
        <v>781</v>
      </c>
      <c r="K54" s="16">
        <v>102.45</v>
      </c>
      <c r="N54">
        <f t="shared" si="4"/>
        <v>76864</v>
      </c>
      <c r="O54">
        <f>IF(AND(A54&gt;0,A54&lt;999),IFERROR(VLOOKUP(results0123[[#This Row],[Card]],U14M[],1,FALSE),0),0)</f>
        <v>76864</v>
      </c>
      <c r="P54">
        <f t="shared" si="5"/>
        <v>53</v>
      </c>
      <c r="Q54">
        <f t="shared" si="6"/>
        <v>71</v>
      </c>
      <c r="R54">
        <f t="shared" si="7"/>
        <v>52</v>
      </c>
    </row>
    <row r="55" spans="1:18" x14ac:dyDescent="0.25">
      <c r="A55" s="17">
        <v>54</v>
      </c>
      <c r="B55" s="18">
        <v>85546</v>
      </c>
      <c r="C55" s="18">
        <v>23</v>
      </c>
      <c r="D55" s="19" t="s">
        <v>221</v>
      </c>
      <c r="E55" s="19" t="s">
        <v>117</v>
      </c>
      <c r="F55" s="18">
        <v>4</v>
      </c>
      <c r="G55" s="19" t="s">
        <v>16</v>
      </c>
      <c r="H55" s="19">
        <v>44.36</v>
      </c>
      <c r="I55" s="19">
        <v>45.42</v>
      </c>
      <c r="J55" s="19" t="s">
        <v>782</v>
      </c>
      <c r="K55" s="20">
        <v>103.42</v>
      </c>
      <c r="N55">
        <f t="shared" si="4"/>
        <v>85546</v>
      </c>
      <c r="O55">
        <f>IF(AND(A55&gt;0,A55&lt;999),IFERROR(VLOOKUP(results0123[[#This Row],[Card]],U14M[],1,FALSE),0),0)</f>
        <v>85546</v>
      </c>
      <c r="P55">
        <f t="shared" si="5"/>
        <v>54</v>
      </c>
      <c r="Q55">
        <f t="shared" si="6"/>
        <v>51</v>
      </c>
      <c r="R55">
        <f t="shared" si="7"/>
        <v>73</v>
      </c>
    </row>
    <row r="56" spans="1:18" x14ac:dyDescent="0.25">
      <c r="A56" s="13">
        <v>55</v>
      </c>
      <c r="B56" s="14">
        <v>80714</v>
      </c>
      <c r="C56" s="14">
        <v>63</v>
      </c>
      <c r="D56" s="15" t="s">
        <v>152</v>
      </c>
      <c r="E56" s="15" t="s">
        <v>22</v>
      </c>
      <c r="F56" s="14">
        <v>5</v>
      </c>
      <c r="G56" s="15" t="s">
        <v>16</v>
      </c>
      <c r="H56" s="15">
        <v>44.84</v>
      </c>
      <c r="I56" s="15">
        <v>44.96</v>
      </c>
      <c r="J56" s="15" t="s">
        <v>783</v>
      </c>
      <c r="K56" s="16">
        <v>103.66</v>
      </c>
      <c r="N56">
        <f t="shared" si="4"/>
        <v>80714</v>
      </c>
      <c r="O56">
        <f>IF(AND(A56&gt;0,A56&lt;999),IFERROR(VLOOKUP(results0123[[#This Row],[Card]],U14M[],1,FALSE),0),0)</f>
        <v>80714</v>
      </c>
      <c r="P56">
        <f t="shared" si="5"/>
        <v>55</v>
      </c>
      <c r="Q56">
        <f t="shared" si="6"/>
        <v>56</v>
      </c>
      <c r="R56">
        <f t="shared" si="7"/>
        <v>64</v>
      </c>
    </row>
    <row r="57" spans="1:18" x14ac:dyDescent="0.25">
      <c r="A57" s="17">
        <v>56</v>
      </c>
      <c r="B57" s="18">
        <v>77214</v>
      </c>
      <c r="C57" s="18">
        <v>98</v>
      </c>
      <c r="D57" s="19" t="s">
        <v>154</v>
      </c>
      <c r="E57" s="19" t="s">
        <v>155</v>
      </c>
      <c r="F57" s="18">
        <v>5</v>
      </c>
      <c r="G57" s="19" t="s">
        <v>16</v>
      </c>
      <c r="H57" s="19">
        <v>45.7</v>
      </c>
      <c r="I57" s="19">
        <v>44.4</v>
      </c>
      <c r="J57" s="19" t="s">
        <v>784</v>
      </c>
      <c r="K57" s="20">
        <v>107.28</v>
      </c>
      <c r="N57">
        <f t="shared" si="4"/>
        <v>77214</v>
      </c>
      <c r="O57">
        <f>IF(AND(A57&gt;0,A57&lt;999),IFERROR(VLOOKUP(results0123[[#This Row],[Card]],U14M[],1,FALSE),0),0)</f>
        <v>77214</v>
      </c>
      <c r="P57">
        <f t="shared" si="5"/>
        <v>56</v>
      </c>
      <c r="Q57">
        <f t="shared" si="6"/>
        <v>74</v>
      </c>
      <c r="R57">
        <f t="shared" si="7"/>
        <v>57</v>
      </c>
    </row>
    <row r="58" spans="1:18" x14ac:dyDescent="0.25">
      <c r="A58" s="13">
        <v>57</v>
      </c>
      <c r="B58" s="14">
        <v>78178</v>
      </c>
      <c r="C58" s="14">
        <v>70</v>
      </c>
      <c r="D58" s="15" t="s">
        <v>194</v>
      </c>
      <c r="E58" s="15" t="s">
        <v>61</v>
      </c>
      <c r="F58" s="14">
        <v>4</v>
      </c>
      <c r="G58" s="15" t="s">
        <v>16</v>
      </c>
      <c r="H58" s="15">
        <v>45.46</v>
      </c>
      <c r="I58" s="15">
        <v>44.79</v>
      </c>
      <c r="J58" s="15" t="s">
        <v>785</v>
      </c>
      <c r="K58" s="16">
        <v>109.09</v>
      </c>
      <c r="N58">
        <f t="shared" si="4"/>
        <v>78178</v>
      </c>
      <c r="O58">
        <f>IF(AND(A58&gt;0,A58&lt;999),IFERROR(VLOOKUP(results0123[[#This Row],[Card]],U14M[],1,FALSE),0),0)</f>
        <v>78178</v>
      </c>
      <c r="P58">
        <f t="shared" si="5"/>
        <v>57</v>
      </c>
      <c r="Q58">
        <f t="shared" si="6"/>
        <v>69</v>
      </c>
      <c r="R58">
        <f t="shared" si="7"/>
        <v>61</v>
      </c>
    </row>
    <row r="59" spans="1:18" x14ac:dyDescent="0.25">
      <c r="A59" s="17">
        <v>58</v>
      </c>
      <c r="B59" s="18">
        <v>81491</v>
      </c>
      <c r="C59" s="18">
        <v>49</v>
      </c>
      <c r="D59" s="19" t="s">
        <v>105</v>
      </c>
      <c r="E59" s="19" t="s">
        <v>22</v>
      </c>
      <c r="F59" s="18">
        <v>5</v>
      </c>
      <c r="G59" s="19" t="s">
        <v>16</v>
      </c>
      <c r="H59" s="19">
        <v>45.53</v>
      </c>
      <c r="I59" s="19">
        <v>44.8</v>
      </c>
      <c r="J59" s="19" t="s">
        <v>786</v>
      </c>
      <c r="K59" s="20">
        <v>110.06</v>
      </c>
      <c r="N59">
        <f t="shared" si="4"/>
        <v>81491</v>
      </c>
      <c r="O59">
        <f>IF(AND(A59&gt;0,A59&lt;999),IFERROR(VLOOKUP(results0123[[#This Row],[Card]],U14M[],1,FALSE),0),0)</f>
        <v>81491</v>
      </c>
      <c r="P59">
        <f t="shared" si="5"/>
        <v>58</v>
      </c>
      <c r="Q59">
        <f t="shared" si="6"/>
        <v>70</v>
      </c>
      <c r="R59">
        <f t="shared" si="7"/>
        <v>62</v>
      </c>
    </row>
    <row r="60" spans="1:18" x14ac:dyDescent="0.25">
      <c r="A60" s="13">
        <v>59</v>
      </c>
      <c r="B60" s="14">
        <v>84752</v>
      </c>
      <c r="C60" s="14">
        <v>52</v>
      </c>
      <c r="D60" s="15" t="s">
        <v>140</v>
      </c>
      <c r="E60" s="15" t="s">
        <v>15</v>
      </c>
      <c r="F60" s="14">
        <v>5</v>
      </c>
      <c r="G60" s="15" t="s">
        <v>16</v>
      </c>
      <c r="H60" s="15">
        <v>45.32</v>
      </c>
      <c r="I60" s="15">
        <v>45.19</v>
      </c>
      <c r="J60" s="15" t="s">
        <v>346</v>
      </c>
      <c r="K60" s="16">
        <v>112.23</v>
      </c>
      <c r="N60">
        <f t="shared" si="4"/>
        <v>84752</v>
      </c>
      <c r="O60">
        <f>IF(AND(A60&gt;0,A60&lt;999),IFERROR(VLOOKUP(results0123[[#This Row],[Card]],U14M[],1,FALSE),0),0)</f>
        <v>84752</v>
      </c>
      <c r="P60">
        <f t="shared" si="5"/>
        <v>59</v>
      </c>
      <c r="Q60">
        <f t="shared" si="6"/>
        <v>66</v>
      </c>
      <c r="R60">
        <f t="shared" si="7"/>
        <v>67</v>
      </c>
    </row>
    <row r="61" spans="1:18" x14ac:dyDescent="0.25">
      <c r="A61" s="17">
        <v>60</v>
      </c>
      <c r="B61" s="18">
        <v>80700</v>
      </c>
      <c r="C61" s="18">
        <v>6</v>
      </c>
      <c r="D61" s="19" t="s">
        <v>192</v>
      </c>
      <c r="E61" s="19" t="s">
        <v>31</v>
      </c>
      <c r="F61" s="18">
        <v>4</v>
      </c>
      <c r="G61" s="19" t="s">
        <v>16</v>
      </c>
      <c r="H61" s="19">
        <v>44.71</v>
      </c>
      <c r="I61" s="19">
        <v>45.83</v>
      </c>
      <c r="J61" s="19" t="s">
        <v>787</v>
      </c>
      <c r="K61" s="20">
        <v>112.59</v>
      </c>
      <c r="N61">
        <f t="shared" si="4"/>
        <v>80700</v>
      </c>
      <c r="O61">
        <f>IF(AND(A61&gt;0,A61&lt;999),IFERROR(VLOOKUP(results0123[[#This Row],[Card]],U14M[],1,FALSE),0),0)</f>
        <v>80700</v>
      </c>
      <c r="P61">
        <f t="shared" si="5"/>
        <v>60</v>
      </c>
      <c r="Q61">
        <f t="shared" si="6"/>
        <v>55</v>
      </c>
      <c r="R61">
        <f t="shared" si="7"/>
        <v>76</v>
      </c>
    </row>
    <row r="62" spans="1:18" x14ac:dyDescent="0.25">
      <c r="A62" s="13">
        <v>61</v>
      </c>
      <c r="B62" s="14">
        <v>87999</v>
      </c>
      <c r="C62" s="14">
        <v>17</v>
      </c>
      <c r="D62" s="15" t="s">
        <v>179</v>
      </c>
      <c r="E62" s="15" t="s">
        <v>19</v>
      </c>
      <c r="F62" s="14">
        <v>5</v>
      </c>
      <c r="G62" s="15" t="s">
        <v>16</v>
      </c>
      <c r="H62" s="15">
        <v>45.26</v>
      </c>
      <c r="I62" s="15">
        <v>45.29</v>
      </c>
      <c r="J62" s="15" t="s">
        <v>788</v>
      </c>
      <c r="K62" s="16">
        <v>112.71</v>
      </c>
      <c r="N62">
        <f t="shared" si="4"/>
        <v>87999</v>
      </c>
      <c r="O62">
        <f>IF(AND(A62&gt;0,A62&lt;999),IFERROR(VLOOKUP(results0123[[#This Row],[Card]],U14M[],1,FALSE),0),0)</f>
        <v>87999</v>
      </c>
      <c r="P62">
        <f t="shared" si="5"/>
        <v>61</v>
      </c>
      <c r="Q62">
        <f t="shared" si="6"/>
        <v>63</v>
      </c>
      <c r="R62">
        <f t="shared" si="7"/>
        <v>71</v>
      </c>
    </row>
    <row r="63" spans="1:18" x14ac:dyDescent="0.25">
      <c r="A63" s="17">
        <v>62</v>
      </c>
      <c r="B63" s="18">
        <v>79148</v>
      </c>
      <c r="C63" s="18">
        <v>73</v>
      </c>
      <c r="D63" s="19" t="s">
        <v>191</v>
      </c>
      <c r="E63" s="19" t="s">
        <v>31</v>
      </c>
      <c r="F63" s="18">
        <v>4</v>
      </c>
      <c r="G63" s="19" t="s">
        <v>16</v>
      </c>
      <c r="H63" s="19">
        <v>45.84</v>
      </c>
      <c r="I63" s="19">
        <v>44.75</v>
      </c>
      <c r="J63" s="19" t="s">
        <v>789</v>
      </c>
      <c r="K63" s="20">
        <v>113.19</v>
      </c>
      <c r="N63">
        <f t="shared" si="4"/>
        <v>79148</v>
      </c>
      <c r="O63">
        <f>IF(AND(A63&gt;0,A63&lt;999),IFERROR(VLOOKUP(results0123[[#This Row],[Card]],U14M[],1,FALSE),0),0)</f>
        <v>79148</v>
      </c>
      <c r="P63">
        <f t="shared" si="5"/>
        <v>62</v>
      </c>
      <c r="Q63">
        <f t="shared" si="6"/>
        <v>75</v>
      </c>
      <c r="R63">
        <f t="shared" si="7"/>
        <v>60</v>
      </c>
    </row>
    <row r="64" spans="1:18" x14ac:dyDescent="0.25">
      <c r="A64" s="13">
        <v>63</v>
      </c>
      <c r="B64" s="14">
        <v>80627</v>
      </c>
      <c r="C64" s="14">
        <v>29</v>
      </c>
      <c r="D64" s="15" t="s">
        <v>222</v>
      </c>
      <c r="E64" s="15" t="s">
        <v>19</v>
      </c>
      <c r="F64" s="14">
        <v>5</v>
      </c>
      <c r="G64" s="15" t="s">
        <v>16</v>
      </c>
      <c r="H64" s="15">
        <v>45.63</v>
      </c>
      <c r="I64" s="15">
        <v>45</v>
      </c>
      <c r="J64" s="15" t="s">
        <v>790</v>
      </c>
      <c r="K64" s="16">
        <v>113.68</v>
      </c>
      <c r="N64">
        <f t="shared" si="4"/>
        <v>80627</v>
      </c>
      <c r="O64">
        <f>IF(AND(A64&gt;0,A64&lt;999),IFERROR(VLOOKUP(results0123[[#This Row],[Card]],U14M[],1,FALSE),0),0)</f>
        <v>80627</v>
      </c>
      <c r="P64">
        <f t="shared" si="5"/>
        <v>63</v>
      </c>
      <c r="Q64">
        <f t="shared" si="6"/>
        <v>72</v>
      </c>
      <c r="R64">
        <f t="shared" si="7"/>
        <v>65</v>
      </c>
    </row>
    <row r="65" spans="1:18" x14ac:dyDescent="0.25">
      <c r="A65" s="17">
        <v>64</v>
      </c>
      <c r="B65" s="18">
        <v>81139</v>
      </c>
      <c r="C65" s="18">
        <v>91</v>
      </c>
      <c r="D65" s="19" t="s">
        <v>177</v>
      </c>
      <c r="E65" s="19" t="s">
        <v>22</v>
      </c>
      <c r="F65" s="18">
        <v>4</v>
      </c>
      <c r="G65" s="19" t="s">
        <v>16</v>
      </c>
      <c r="H65" s="19">
        <v>46.04</v>
      </c>
      <c r="I65" s="19">
        <v>44.74</v>
      </c>
      <c r="J65" s="19" t="s">
        <v>791</v>
      </c>
      <c r="K65" s="20">
        <v>115.49</v>
      </c>
      <c r="N65">
        <f t="shared" si="4"/>
        <v>81139</v>
      </c>
      <c r="O65">
        <f>IF(AND(A65&gt;0,A65&lt;999),IFERROR(VLOOKUP(results0123[[#This Row],[Card]],U14M[],1,FALSE),0),0)</f>
        <v>81139</v>
      </c>
      <c r="P65">
        <f t="shared" si="5"/>
        <v>64</v>
      </c>
      <c r="Q65">
        <f t="shared" si="6"/>
        <v>77</v>
      </c>
      <c r="R65">
        <f t="shared" si="7"/>
        <v>58</v>
      </c>
    </row>
    <row r="66" spans="1:18" x14ac:dyDescent="0.25">
      <c r="A66" s="13">
        <v>65</v>
      </c>
      <c r="B66" s="14">
        <v>80692</v>
      </c>
      <c r="C66" s="14">
        <v>113</v>
      </c>
      <c r="D66" s="15" t="s">
        <v>317</v>
      </c>
      <c r="E66" s="15" t="s">
        <v>31</v>
      </c>
      <c r="F66" s="14">
        <v>5</v>
      </c>
      <c r="G66" s="15" t="s">
        <v>16</v>
      </c>
      <c r="H66" s="15">
        <v>46.25</v>
      </c>
      <c r="I66" s="15">
        <v>44.74</v>
      </c>
      <c r="J66" s="15" t="s">
        <v>792</v>
      </c>
      <c r="K66" s="16">
        <v>118.02</v>
      </c>
      <c r="N66">
        <f t="shared" ref="N66:N97" si="8">B66</f>
        <v>80692</v>
      </c>
      <c r="O66">
        <f>IF(AND(A66&gt;0,A66&lt;999),IFERROR(VLOOKUP(results0123[[#This Row],[Card]],U14M[],1,FALSE),0),0)</f>
        <v>80692</v>
      </c>
      <c r="P66">
        <f t="shared" ref="P66:P97" si="9">A66</f>
        <v>65</v>
      </c>
      <c r="Q66">
        <f t="shared" ref="Q66:Q97" si="10">IFERROR(_xlfn.RANK.EQ(H66,$H$2:$H$117,1),999)</f>
        <v>79</v>
      </c>
      <c r="R66">
        <f t="shared" ref="R66:R97" si="11">IFERROR(_xlfn.RANK.EQ(I66,$I$2:$I$117,1),999)</f>
        <v>58</v>
      </c>
    </row>
    <row r="67" spans="1:18" x14ac:dyDescent="0.25">
      <c r="A67" s="17">
        <v>66</v>
      </c>
      <c r="B67" s="18">
        <v>81500</v>
      </c>
      <c r="C67" s="18">
        <v>83</v>
      </c>
      <c r="D67" s="19" t="s">
        <v>131</v>
      </c>
      <c r="E67" s="19" t="s">
        <v>22</v>
      </c>
      <c r="F67" s="18">
        <v>5</v>
      </c>
      <c r="G67" s="19" t="s">
        <v>16</v>
      </c>
      <c r="H67" s="19">
        <v>45.39</v>
      </c>
      <c r="I67" s="19">
        <v>45.61</v>
      </c>
      <c r="J67" s="19" t="s">
        <v>793</v>
      </c>
      <c r="K67" s="20">
        <v>118.14</v>
      </c>
      <c r="N67">
        <f t="shared" si="8"/>
        <v>81500</v>
      </c>
      <c r="O67">
        <f>IF(AND(A67&gt;0,A67&lt;999),IFERROR(VLOOKUP(results0123[[#This Row],[Card]],U14M[],1,FALSE),0),0)</f>
        <v>81500</v>
      </c>
      <c r="P67">
        <f t="shared" si="9"/>
        <v>66</v>
      </c>
      <c r="Q67">
        <f t="shared" si="10"/>
        <v>68</v>
      </c>
      <c r="R67">
        <f t="shared" si="11"/>
        <v>75</v>
      </c>
    </row>
    <row r="68" spans="1:18" x14ac:dyDescent="0.25">
      <c r="A68" s="13">
        <v>67</v>
      </c>
      <c r="B68" s="14">
        <v>86143</v>
      </c>
      <c r="C68" s="14">
        <v>74</v>
      </c>
      <c r="D68" s="15" t="s">
        <v>125</v>
      </c>
      <c r="E68" s="15" t="s">
        <v>42</v>
      </c>
      <c r="F68" s="14">
        <v>4</v>
      </c>
      <c r="G68" s="15" t="s">
        <v>16</v>
      </c>
      <c r="H68" s="15">
        <v>46.25</v>
      </c>
      <c r="I68" s="15">
        <v>44.87</v>
      </c>
      <c r="J68" s="15" t="s">
        <v>794</v>
      </c>
      <c r="K68" s="16">
        <v>119.59</v>
      </c>
      <c r="N68">
        <f t="shared" si="8"/>
        <v>86143</v>
      </c>
      <c r="O68">
        <f>IF(AND(A68&gt;0,A68&lt;999),IFERROR(VLOOKUP(results0123[[#This Row],[Card]],U14M[],1,FALSE),0),0)</f>
        <v>86143</v>
      </c>
      <c r="P68">
        <f t="shared" si="9"/>
        <v>67</v>
      </c>
      <c r="Q68">
        <f t="shared" si="10"/>
        <v>79</v>
      </c>
      <c r="R68">
        <f t="shared" si="11"/>
        <v>63</v>
      </c>
    </row>
    <row r="69" spans="1:18" x14ac:dyDescent="0.25">
      <c r="A69" s="17">
        <v>68</v>
      </c>
      <c r="B69" s="18">
        <v>85566</v>
      </c>
      <c r="C69" s="18">
        <v>53</v>
      </c>
      <c r="D69" s="19" t="s">
        <v>150</v>
      </c>
      <c r="E69" s="19" t="s">
        <v>117</v>
      </c>
      <c r="F69" s="18">
        <v>5</v>
      </c>
      <c r="G69" s="19" t="s">
        <v>16</v>
      </c>
      <c r="H69" s="19">
        <v>45.35</v>
      </c>
      <c r="I69" s="19">
        <v>45.89</v>
      </c>
      <c r="J69" s="19" t="s">
        <v>348</v>
      </c>
      <c r="K69" s="20">
        <v>121.04</v>
      </c>
      <c r="N69">
        <f t="shared" si="8"/>
        <v>85566</v>
      </c>
      <c r="O69">
        <f>IF(AND(A69&gt;0,A69&lt;999),IFERROR(VLOOKUP(results0123[[#This Row],[Card]],U14M[],1,FALSE),0),0)</f>
        <v>85566</v>
      </c>
      <c r="P69">
        <f t="shared" si="9"/>
        <v>68</v>
      </c>
      <c r="Q69">
        <f t="shared" si="10"/>
        <v>67</v>
      </c>
      <c r="R69">
        <f t="shared" si="11"/>
        <v>77</v>
      </c>
    </row>
    <row r="70" spans="1:18" x14ac:dyDescent="0.25">
      <c r="A70" s="13">
        <v>69</v>
      </c>
      <c r="B70" s="14">
        <v>80701</v>
      </c>
      <c r="C70" s="14">
        <v>88</v>
      </c>
      <c r="D70" s="15" t="s">
        <v>216</v>
      </c>
      <c r="E70" s="15" t="s">
        <v>31</v>
      </c>
      <c r="F70" s="14">
        <v>5</v>
      </c>
      <c r="G70" s="15" t="s">
        <v>16</v>
      </c>
      <c r="H70" s="15">
        <v>46.48</v>
      </c>
      <c r="I70" s="15">
        <v>45.2</v>
      </c>
      <c r="J70" s="15" t="s">
        <v>795</v>
      </c>
      <c r="K70" s="16">
        <v>126.35</v>
      </c>
      <c r="N70">
        <f t="shared" si="8"/>
        <v>80701</v>
      </c>
      <c r="O70">
        <f>IF(AND(A70&gt;0,A70&lt;999),IFERROR(VLOOKUP(results0123[[#This Row],[Card]],U14M[],1,FALSE),0),0)</f>
        <v>80701</v>
      </c>
      <c r="P70">
        <f t="shared" si="9"/>
        <v>69</v>
      </c>
      <c r="Q70">
        <f t="shared" si="10"/>
        <v>83</v>
      </c>
      <c r="R70">
        <f t="shared" si="11"/>
        <v>68</v>
      </c>
    </row>
    <row r="71" spans="1:18" x14ac:dyDescent="0.25">
      <c r="A71" s="17">
        <v>70</v>
      </c>
      <c r="B71" s="18">
        <v>84692</v>
      </c>
      <c r="C71" s="18">
        <v>103</v>
      </c>
      <c r="D71" s="19" t="s">
        <v>173</v>
      </c>
      <c r="E71" s="19" t="s">
        <v>22</v>
      </c>
      <c r="F71" s="18">
        <v>4</v>
      </c>
      <c r="G71" s="19" t="s">
        <v>16</v>
      </c>
      <c r="H71" s="19">
        <v>46.37</v>
      </c>
      <c r="I71" s="19">
        <v>45.56</v>
      </c>
      <c r="J71" s="19" t="s">
        <v>717</v>
      </c>
      <c r="K71" s="20">
        <v>129.36000000000001</v>
      </c>
      <c r="N71">
        <f t="shared" si="8"/>
        <v>84692</v>
      </c>
      <c r="O71">
        <f>IF(AND(A71&gt;0,A71&lt;999),IFERROR(VLOOKUP(results0123[[#This Row],[Card]],U14M[],1,FALSE),0),0)</f>
        <v>84692</v>
      </c>
      <c r="P71">
        <f t="shared" si="9"/>
        <v>70</v>
      </c>
      <c r="Q71">
        <f t="shared" si="10"/>
        <v>82</v>
      </c>
      <c r="R71">
        <f t="shared" si="11"/>
        <v>74</v>
      </c>
    </row>
    <row r="72" spans="1:18" x14ac:dyDescent="0.25">
      <c r="A72" s="13">
        <v>71</v>
      </c>
      <c r="B72" s="14">
        <v>81081</v>
      </c>
      <c r="C72" s="14">
        <v>100</v>
      </c>
      <c r="D72" s="15" t="s">
        <v>330</v>
      </c>
      <c r="E72" s="15" t="s">
        <v>31</v>
      </c>
      <c r="F72" s="14">
        <v>5</v>
      </c>
      <c r="G72" s="15" t="s">
        <v>16</v>
      </c>
      <c r="H72" s="15">
        <v>46.78</v>
      </c>
      <c r="I72" s="15">
        <v>45.21</v>
      </c>
      <c r="J72" s="15" t="s">
        <v>796</v>
      </c>
      <c r="K72" s="16">
        <v>130.09</v>
      </c>
      <c r="N72">
        <f t="shared" si="8"/>
        <v>81081</v>
      </c>
      <c r="O72">
        <f>IF(AND(A72&gt;0,A72&lt;999),IFERROR(VLOOKUP(results0123[[#This Row],[Card]],U14M[],1,FALSE),0),0)</f>
        <v>81081</v>
      </c>
      <c r="P72">
        <f t="shared" si="9"/>
        <v>71</v>
      </c>
      <c r="Q72">
        <f t="shared" si="10"/>
        <v>86</v>
      </c>
      <c r="R72">
        <f t="shared" si="11"/>
        <v>69</v>
      </c>
    </row>
    <row r="73" spans="1:18" x14ac:dyDescent="0.25">
      <c r="A73" s="17">
        <v>72</v>
      </c>
      <c r="B73" s="18">
        <v>80830</v>
      </c>
      <c r="C73" s="18">
        <v>107</v>
      </c>
      <c r="D73" s="19" t="s">
        <v>217</v>
      </c>
      <c r="E73" s="19" t="s">
        <v>54</v>
      </c>
      <c r="F73" s="18">
        <v>5</v>
      </c>
      <c r="G73" s="19" t="s">
        <v>16</v>
      </c>
      <c r="H73" s="19">
        <v>47.09</v>
      </c>
      <c r="I73" s="19">
        <v>45.31</v>
      </c>
      <c r="J73" s="19" t="s">
        <v>457</v>
      </c>
      <c r="K73" s="20">
        <v>135.04</v>
      </c>
      <c r="N73">
        <f t="shared" si="8"/>
        <v>80830</v>
      </c>
      <c r="O73">
        <f>IF(AND(A73&gt;0,A73&lt;999),IFERROR(VLOOKUP(results0123[[#This Row],[Card]],U14M[],1,FALSE),0),0)</f>
        <v>80830</v>
      </c>
      <c r="P73">
        <f t="shared" si="9"/>
        <v>72</v>
      </c>
      <c r="Q73">
        <f t="shared" si="10"/>
        <v>89</v>
      </c>
      <c r="R73">
        <f t="shared" si="11"/>
        <v>72</v>
      </c>
    </row>
    <row r="74" spans="1:18" x14ac:dyDescent="0.25">
      <c r="A74" s="13">
        <v>73</v>
      </c>
      <c r="B74" s="14">
        <v>88381</v>
      </c>
      <c r="C74" s="14">
        <v>99</v>
      </c>
      <c r="D74" s="15" t="s">
        <v>181</v>
      </c>
      <c r="E74" s="15" t="s">
        <v>47</v>
      </c>
      <c r="F74" s="14">
        <v>5</v>
      </c>
      <c r="G74" s="15" t="s">
        <v>16</v>
      </c>
      <c r="H74" s="15">
        <v>47.03</v>
      </c>
      <c r="I74" s="15">
        <v>46.25</v>
      </c>
      <c r="J74" s="15" t="s">
        <v>797</v>
      </c>
      <c r="K74" s="16">
        <v>145.65</v>
      </c>
      <c r="N74">
        <f t="shared" si="8"/>
        <v>88381</v>
      </c>
      <c r="O74">
        <f>IF(AND(A74&gt;0,A74&lt;999),IFERROR(VLOOKUP(results0123[[#This Row],[Card]],U14M[],1,FALSE),0),0)</f>
        <v>88381</v>
      </c>
      <c r="P74">
        <f t="shared" si="9"/>
        <v>73</v>
      </c>
      <c r="Q74">
        <f t="shared" si="10"/>
        <v>88</v>
      </c>
      <c r="R74">
        <f t="shared" si="11"/>
        <v>78</v>
      </c>
    </row>
    <row r="75" spans="1:18" x14ac:dyDescent="0.25">
      <c r="A75" s="17">
        <v>74</v>
      </c>
      <c r="B75" s="18">
        <v>81505</v>
      </c>
      <c r="C75" s="18">
        <v>9</v>
      </c>
      <c r="D75" s="19" t="s">
        <v>315</v>
      </c>
      <c r="E75" s="19" t="s">
        <v>22</v>
      </c>
      <c r="F75" s="18">
        <v>5</v>
      </c>
      <c r="G75" s="19" t="s">
        <v>16</v>
      </c>
      <c r="H75" s="19">
        <v>45.89</v>
      </c>
      <c r="I75" s="19">
        <v>47.41</v>
      </c>
      <c r="J75" s="19" t="s">
        <v>798</v>
      </c>
      <c r="K75" s="20">
        <v>145.9</v>
      </c>
      <c r="N75">
        <f t="shared" si="8"/>
        <v>81505</v>
      </c>
      <c r="O75">
        <f>IF(AND(A75&gt;0,A75&lt;999),IFERROR(VLOOKUP(results0123[[#This Row],[Card]],U14M[],1,FALSE),0),0)</f>
        <v>81505</v>
      </c>
      <c r="P75">
        <f t="shared" si="9"/>
        <v>74</v>
      </c>
      <c r="Q75">
        <f t="shared" si="10"/>
        <v>76</v>
      </c>
      <c r="R75">
        <f t="shared" si="11"/>
        <v>84</v>
      </c>
    </row>
    <row r="76" spans="1:18" x14ac:dyDescent="0.25">
      <c r="A76" s="13">
        <v>75</v>
      </c>
      <c r="B76" s="14">
        <v>86207</v>
      </c>
      <c r="C76" s="14">
        <v>20</v>
      </c>
      <c r="D76" s="15" t="s">
        <v>294</v>
      </c>
      <c r="E76" s="15" t="s">
        <v>54</v>
      </c>
      <c r="F76" s="14">
        <v>5</v>
      </c>
      <c r="G76" s="15" t="s">
        <v>16</v>
      </c>
      <c r="H76" s="15">
        <v>47.52</v>
      </c>
      <c r="I76" s="15">
        <v>46.78</v>
      </c>
      <c r="J76" s="15" t="s">
        <v>799</v>
      </c>
      <c r="K76" s="16">
        <v>157.96</v>
      </c>
      <c r="N76">
        <f t="shared" si="8"/>
        <v>86207</v>
      </c>
      <c r="O76">
        <f>IF(AND(A76&gt;0,A76&lt;999),IFERROR(VLOOKUP(results0123[[#This Row],[Card]],U14M[],1,FALSE),0),0)</f>
        <v>86207</v>
      </c>
      <c r="P76">
        <f t="shared" si="9"/>
        <v>75</v>
      </c>
      <c r="Q76">
        <f t="shared" si="10"/>
        <v>90</v>
      </c>
      <c r="R76">
        <f t="shared" si="11"/>
        <v>82</v>
      </c>
    </row>
    <row r="77" spans="1:18" x14ac:dyDescent="0.25">
      <c r="A77" s="17">
        <v>76</v>
      </c>
      <c r="B77" s="18">
        <v>82442</v>
      </c>
      <c r="C77" s="18">
        <v>38</v>
      </c>
      <c r="D77" s="19" t="s">
        <v>204</v>
      </c>
      <c r="E77" s="19" t="s">
        <v>42</v>
      </c>
      <c r="F77" s="18">
        <v>5</v>
      </c>
      <c r="G77" s="19" t="s">
        <v>16</v>
      </c>
      <c r="H77" s="19">
        <v>47.65</v>
      </c>
      <c r="I77" s="19">
        <v>46.68</v>
      </c>
      <c r="J77" s="19" t="s">
        <v>800</v>
      </c>
      <c r="K77" s="20">
        <v>158.33000000000001</v>
      </c>
      <c r="N77">
        <f t="shared" si="8"/>
        <v>82442</v>
      </c>
      <c r="O77">
        <f>IF(AND(A77&gt;0,A77&lt;999),IFERROR(VLOOKUP(results0123[[#This Row],[Card]],U14M[],1,FALSE),0),0)</f>
        <v>82442</v>
      </c>
      <c r="P77">
        <f t="shared" si="9"/>
        <v>76</v>
      </c>
      <c r="Q77">
        <f t="shared" si="10"/>
        <v>92</v>
      </c>
      <c r="R77">
        <f t="shared" si="11"/>
        <v>81</v>
      </c>
    </row>
    <row r="78" spans="1:18" x14ac:dyDescent="0.25">
      <c r="A78" s="13">
        <v>77</v>
      </c>
      <c r="B78" s="14">
        <v>85448</v>
      </c>
      <c r="C78" s="14">
        <v>60</v>
      </c>
      <c r="D78" s="15" t="s">
        <v>224</v>
      </c>
      <c r="E78" s="15" t="s">
        <v>101</v>
      </c>
      <c r="F78" s="14">
        <v>4</v>
      </c>
      <c r="G78" s="15" t="s">
        <v>16</v>
      </c>
      <c r="H78" s="15">
        <v>49.35</v>
      </c>
      <c r="I78" s="15">
        <v>45.23</v>
      </c>
      <c r="J78" s="15" t="s">
        <v>801</v>
      </c>
      <c r="K78" s="16">
        <v>161.34</v>
      </c>
      <c r="N78">
        <f t="shared" si="8"/>
        <v>85448</v>
      </c>
      <c r="O78">
        <f>IF(AND(A78&gt;0,A78&lt;999),IFERROR(VLOOKUP(results0123[[#This Row],[Card]],U14M[],1,FALSE),0),0)</f>
        <v>85448</v>
      </c>
      <c r="P78">
        <f t="shared" si="9"/>
        <v>77</v>
      </c>
      <c r="Q78">
        <f t="shared" si="10"/>
        <v>97</v>
      </c>
      <c r="R78">
        <f t="shared" si="11"/>
        <v>70</v>
      </c>
    </row>
    <row r="79" spans="1:18" x14ac:dyDescent="0.25">
      <c r="A79" s="17">
        <v>78</v>
      </c>
      <c r="B79" s="18">
        <v>78504</v>
      </c>
      <c r="C79" s="18">
        <v>1</v>
      </c>
      <c r="D79" s="19" t="s">
        <v>210</v>
      </c>
      <c r="E79" s="19" t="s">
        <v>19</v>
      </c>
      <c r="F79" s="18">
        <v>5</v>
      </c>
      <c r="G79" s="19" t="s">
        <v>16</v>
      </c>
      <c r="H79" s="19">
        <v>46.52</v>
      </c>
      <c r="I79" s="19">
        <v>48.35</v>
      </c>
      <c r="J79" s="19" t="s">
        <v>802</v>
      </c>
      <c r="K79" s="20">
        <v>164.84</v>
      </c>
      <c r="N79">
        <f t="shared" si="8"/>
        <v>78504</v>
      </c>
      <c r="O79">
        <f>IF(AND(A79&gt;0,A79&lt;999),IFERROR(VLOOKUP(results0123[[#This Row],[Card]],U14M[],1,FALSE),0),0)</f>
        <v>78504</v>
      </c>
      <c r="P79">
        <f t="shared" si="9"/>
        <v>78</v>
      </c>
      <c r="Q79">
        <f t="shared" si="10"/>
        <v>84</v>
      </c>
      <c r="R79">
        <f t="shared" si="11"/>
        <v>86</v>
      </c>
    </row>
    <row r="80" spans="1:18" x14ac:dyDescent="0.25">
      <c r="A80" s="13">
        <v>79</v>
      </c>
      <c r="B80" s="14">
        <v>80807</v>
      </c>
      <c r="C80" s="14">
        <v>34</v>
      </c>
      <c r="D80" s="15" t="s">
        <v>298</v>
      </c>
      <c r="E80" s="15" t="s">
        <v>54</v>
      </c>
      <c r="F80" s="14">
        <v>5</v>
      </c>
      <c r="G80" s="15" t="s">
        <v>16</v>
      </c>
      <c r="H80" s="15">
        <v>48.08</v>
      </c>
      <c r="I80" s="15">
        <v>47.48</v>
      </c>
      <c r="J80" s="15" t="s">
        <v>803</v>
      </c>
      <c r="K80" s="16">
        <v>173.17</v>
      </c>
      <c r="N80">
        <f t="shared" si="8"/>
        <v>80807</v>
      </c>
      <c r="O80">
        <f>IF(AND(A80&gt;0,A80&lt;999),IFERROR(VLOOKUP(results0123[[#This Row],[Card]],U14M[],1,FALSE),0),0)</f>
        <v>80807</v>
      </c>
      <c r="P80">
        <f t="shared" si="9"/>
        <v>79</v>
      </c>
      <c r="Q80">
        <f t="shared" si="10"/>
        <v>94</v>
      </c>
      <c r="R80">
        <f t="shared" si="11"/>
        <v>85</v>
      </c>
    </row>
    <row r="81" spans="1:18" x14ac:dyDescent="0.25">
      <c r="A81" s="17">
        <v>80</v>
      </c>
      <c r="B81" s="18">
        <v>85950</v>
      </c>
      <c r="C81" s="18">
        <v>56</v>
      </c>
      <c r="D81" s="19" t="s">
        <v>206</v>
      </c>
      <c r="E81" s="19" t="s">
        <v>31</v>
      </c>
      <c r="F81" s="18">
        <v>4</v>
      </c>
      <c r="G81" s="19" t="s">
        <v>16</v>
      </c>
      <c r="H81" s="19">
        <v>47.61</v>
      </c>
      <c r="I81" s="19">
        <v>49.11</v>
      </c>
      <c r="J81" s="19" t="s">
        <v>804</v>
      </c>
      <c r="K81" s="20">
        <v>187.17</v>
      </c>
      <c r="N81">
        <f t="shared" si="8"/>
        <v>85950</v>
      </c>
      <c r="O81">
        <f>IF(AND(A81&gt;0,A81&lt;999),IFERROR(VLOOKUP(results0123[[#This Row],[Card]],U14M[],1,FALSE),0),0)</f>
        <v>85950</v>
      </c>
      <c r="P81">
        <f t="shared" si="9"/>
        <v>80</v>
      </c>
      <c r="Q81">
        <f t="shared" si="10"/>
        <v>91</v>
      </c>
      <c r="R81">
        <f t="shared" si="11"/>
        <v>88</v>
      </c>
    </row>
    <row r="82" spans="1:18" x14ac:dyDescent="0.25">
      <c r="A82" s="13">
        <v>81</v>
      </c>
      <c r="B82" s="14">
        <v>81801</v>
      </c>
      <c r="C82" s="14">
        <v>78</v>
      </c>
      <c r="D82" s="15" t="s">
        <v>208</v>
      </c>
      <c r="E82" s="15" t="s">
        <v>61</v>
      </c>
      <c r="F82" s="14">
        <v>5</v>
      </c>
      <c r="G82" s="15" t="s">
        <v>16</v>
      </c>
      <c r="H82" s="15">
        <v>48.08</v>
      </c>
      <c r="I82" s="15">
        <v>48.65</v>
      </c>
      <c r="J82" s="15" t="s">
        <v>805</v>
      </c>
      <c r="K82" s="16">
        <v>187.29</v>
      </c>
      <c r="N82">
        <f t="shared" si="8"/>
        <v>81801</v>
      </c>
      <c r="O82">
        <f>IF(AND(A82&gt;0,A82&lt;999),IFERROR(VLOOKUP(results0123[[#This Row],[Card]],U14M[],1,FALSE),0),0)</f>
        <v>81801</v>
      </c>
      <c r="P82">
        <f t="shared" si="9"/>
        <v>81</v>
      </c>
      <c r="Q82">
        <f t="shared" si="10"/>
        <v>94</v>
      </c>
      <c r="R82">
        <f t="shared" si="11"/>
        <v>87</v>
      </c>
    </row>
    <row r="83" spans="1:18" x14ac:dyDescent="0.25">
      <c r="A83" s="17">
        <v>82</v>
      </c>
      <c r="B83" s="18">
        <v>81880</v>
      </c>
      <c r="C83" s="18">
        <v>94</v>
      </c>
      <c r="D83" s="19" t="s">
        <v>212</v>
      </c>
      <c r="E83" s="19" t="s">
        <v>61</v>
      </c>
      <c r="F83" s="18">
        <v>5</v>
      </c>
      <c r="G83" s="19" t="s">
        <v>16</v>
      </c>
      <c r="H83" s="19">
        <v>50.22</v>
      </c>
      <c r="I83" s="19">
        <v>50.57</v>
      </c>
      <c r="J83" s="19" t="s">
        <v>806</v>
      </c>
      <c r="K83" s="20">
        <v>236.28</v>
      </c>
      <c r="N83">
        <f t="shared" si="8"/>
        <v>81880</v>
      </c>
      <c r="O83">
        <f>IF(AND(A83&gt;0,A83&lt;999),IFERROR(VLOOKUP(results0123[[#This Row],[Card]],U14M[],1,FALSE),0),0)</f>
        <v>81880</v>
      </c>
      <c r="P83">
        <f t="shared" si="9"/>
        <v>82</v>
      </c>
      <c r="Q83">
        <f t="shared" si="10"/>
        <v>98</v>
      </c>
      <c r="R83">
        <f t="shared" si="11"/>
        <v>89</v>
      </c>
    </row>
    <row r="84" spans="1:18" x14ac:dyDescent="0.25">
      <c r="A84" s="13">
        <v>83</v>
      </c>
      <c r="B84" s="14">
        <v>88391</v>
      </c>
      <c r="C84" s="14">
        <v>92</v>
      </c>
      <c r="D84" s="15" t="s">
        <v>284</v>
      </c>
      <c r="E84" s="15" t="s">
        <v>155</v>
      </c>
      <c r="F84" s="14">
        <v>5</v>
      </c>
      <c r="G84" s="15" t="s">
        <v>16</v>
      </c>
      <c r="H84" s="15">
        <v>57.02</v>
      </c>
      <c r="I84" s="15">
        <v>45.12</v>
      </c>
      <c r="J84" s="15" t="s">
        <v>807</v>
      </c>
      <c r="K84" s="16">
        <v>252.57</v>
      </c>
      <c r="N84">
        <f t="shared" si="8"/>
        <v>88391</v>
      </c>
      <c r="O84">
        <f>IF(AND(A84&gt;0,A84&lt;999),IFERROR(VLOOKUP(results0123[[#This Row],[Card]],U14M[],1,FALSE),0),0)</f>
        <v>88391</v>
      </c>
      <c r="P84">
        <f t="shared" si="9"/>
        <v>83</v>
      </c>
      <c r="Q84">
        <f t="shared" si="10"/>
        <v>99</v>
      </c>
      <c r="R84">
        <f t="shared" si="11"/>
        <v>66</v>
      </c>
    </row>
    <row r="85" spans="1:18" x14ac:dyDescent="0.25">
      <c r="A85" s="17">
        <v>999</v>
      </c>
      <c r="B85" s="18">
        <v>80628</v>
      </c>
      <c r="C85" s="18">
        <v>106</v>
      </c>
      <c r="D85" s="19" t="s">
        <v>58</v>
      </c>
      <c r="E85" s="19" t="s">
        <v>19</v>
      </c>
      <c r="F85" s="18">
        <v>4</v>
      </c>
      <c r="G85" s="19" t="s">
        <v>16</v>
      </c>
      <c r="H85" s="19" t="s">
        <v>215</v>
      </c>
      <c r="I85" s="19"/>
      <c r="J85" s="19"/>
      <c r="K85" s="20">
        <v>0</v>
      </c>
      <c r="N85">
        <f t="shared" si="8"/>
        <v>80628</v>
      </c>
      <c r="O85">
        <f>IF(AND(A85&gt;0,A85&lt;999),IFERROR(VLOOKUP(results0123[[#This Row],[Card]],U14M[],1,FALSE),0),0)</f>
        <v>0</v>
      </c>
      <c r="P85">
        <f t="shared" si="9"/>
        <v>999</v>
      </c>
      <c r="Q85">
        <f t="shared" si="10"/>
        <v>999</v>
      </c>
      <c r="R85">
        <f t="shared" si="11"/>
        <v>999</v>
      </c>
    </row>
    <row r="86" spans="1:18" x14ac:dyDescent="0.25">
      <c r="A86" s="13">
        <v>999</v>
      </c>
      <c r="B86" s="14">
        <v>82405</v>
      </c>
      <c r="C86" s="14">
        <v>80</v>
      </c>
      <c r="D86" s="15" t="s">
        <v>223</v>
      </c>
      <c r="E86" s="15" t="s">
        <v>101</v>
      </c>
      <c r="F86" s="14">
        <v>4</v>
      </c>
      <c r="G86" s="15" t="s">
        <v>16</v>
      </c>
      <c r="H86" s="15" t="s">
        <v>215</v>
      </c>
      <c r="I86" s="15"/>
      <c r="J86" s="15"/>
      <c r="K86" s="16">
        <v>0</v>
      </c>
      <c r="N86">
        <f t="shared" si="8"/>
        <v>82405</v>
      </c>
      <c r="O86">
        <f>IF(AND(A86&gt;0,A86&lt;999),IFERROR(VLOOKUP(results0123[[#This Row],[Card]],U14M[],1,FALSE),0),0)</f>
        <v>0</v>
      </c>
      <c r="P86">
        <f t="shared" si="9"/>
        <v>999</v>
      </c>
      <c r="Q86">
        <f t="shared" si="10"/>
        <v>999</v>
      </c>
      <c r="R86">
        <f t="shared" si="11"/>
        <v>999</v>
      </c>
    </row>
    <row r="87" spans="1:18" x14ac:dyDescent="0.25">
      <c r="A87" s="17">
        <v>999</v>
      </c>
      <c r="B87" s="18">
        <v>82314</v>
      </c>
      <c r="C87" s="18">
        <v>26</v>
      </c>
      <c r="D87" s="19" t="s">
        <v>78</v>
      </c>
      <c r="E87" s="19" t="s">
        <v>15</v>
      </c>
      <c r="F87" s="18">
        <v>4</v>
      </c>
      <c r="G87" s="19" t="s">
        <v>16</v>
      </c>
      <c r="H87" s="19" t="s">
        <v>215</v>
      </c>
      <c r="I87" s="19"/>
      <c r="J87" s="19"/>
      <c r="K87" s="20">
        <v>0</v>
      </c>
      <c r="N87">
        <f t="shared" si="8"/>
        <v>82314</v>
      </c>
      <c r="O87">
        <f>IF(AND(A87&gt;0,A87&lt;999),IFERROR(VLOOKUP(results0123[[#This Row],[Card]],U14M[],1,FALSE),0),0)</f>
        <v>0</v>
      </c>
      <c r="P87">
        <f t="shared" si="9"/>
        <v>999</v>
      </c>
      <c r="Q87">
        <f t="shared" si="10"/>
        <v>999</v>
      </c>
      <c r="R87">
        <f t="shared" si="11"/>
        <v>999</v>
      </c>
    </row>
    <row r="88" spans="1:18" x14ac:dyDescent="0.25">
      <c r="A88" s="13">
        <v>999</v>
      </c>
      <c r="B88" s="14">
        <v>80820</v>
      </c>
      <c r="C88" s="14">
        <v>35</v>
      </c>
      <c r="D88" s="15" t="s">
        <v>808</v>
      </c>
      <c r="E88" s="15" t="s">
        <v>54</v>
      </c>
      <c r="F88" s="14">
        <v>4</v>
      </c>
      <c r="G88" s="15" t="s">
        <v>16</v>
      </c>
      <c r="H88" s="15" t="s">
        <v>215</v>
      </c>
      <c r="I88" s="15"/>
      <c r="J88" s="15"/>
      <c r="K88" s="16">
        <v>0</v>
      </c>
      <c r="N88">
        <f t="shared" si="8"/>
        <v>80820</v>
      </c>
      <c r="O88">
        <f>IF(AND(A88&gt;0,A88&lt;999),IFERROR(VLOOKUP(results0123[[#This Row],[Card]],U14M[],1,FALSE),0),0)</f>
        <v>0</v>
      </c>
      <c r="P88">
        <f t="shared" si="9"/>
        <v>999</v>
      </c>
      <c r="Q88">
        <f t="shared" si="10"/>
        <v>999</v>
      </c>
      <c r="R88">
        <f t="shared" si="11"/>
        <v>999</v>
      </c>
    </row>
    <row r="89" spans="1:18" x14ac:dyDescent="0.25">
      <c r="A89" s="17">
        <v>999</v>
      </c>
      <c r="B89" s="18">
        <v>82441</v>
      </c>
      <c r="C89" s="18">
        <v>59</v>
      </c>
      <c r="D89" s="19" t="s">
        <v>96</v>
      </c>
      <c r="E89" s="19" t="s">
        <v>15</v>
      </c>
      <c r="F89" s="18">
        <v>4</v>
      </c>
      <c r="G89" s="19" t="s">
        <v>16</v>
      </c>
      <c r="H89" s="19" t="s">
        <v>215</v>
      </c>
      <c r="I89" s="19"/>
      <c r="J89" s="19"/>
      <c r="K89" s="20">
        <v>0</v>
      </c>
      <c r="N89">
        <f t="shared" si="8"/>
        <v>82441</v>
      </c>
      <c r="O89">
        <f>IF(AND(A89&gt;0,A89&lt;999),IFERROR(VLOOKUP(results0123[[#This Row],[Card]],U14M[],1,FALSE),0),0)</f>
        <v>0</v>
      </c>
      <c r="P89">
        <f t="shared" si="9"/>
        <v>999</v>
      </c>
      <c r="Q89">
        <f t="shared" si="10"/>
        <v>999</v>
      </c>
      <c r="R89">
        <f t="shared" si="11"/>
        <v>999</v>
      </c>
    </row>
    <row r="90" spans="1:18" x14ac:dyDescent="0.25">
      <c r="A90" s="13">
        <v>999</v>
      </c>
      <c r="B90" s="14">
        <v>80662</v>
      </c>
      <c r="C90" s="14">
        <v>42</v>
      </c>
      <c r="D90" s="15" t="s">
        <v>158</v>
      </c>
      <c r="E90" s="15" t="s">
        <v>61</v>
      </c>
      <c r="F90" s="14">
        <v>4</v>
      </c>
      <c r="G90" s="15" t="s">
        <v>16</v>
      </c>
      <c r="H90" s="15" t="s">
        <v>215</v>
      </c>
      <c r="I90" s="15"/>
      <c r="J90" s="15"/>
      <c r="K90" s="16">
        <v>0</v>
      </c>
      <c r="N90">
        <f t="shared" si="8"/>
        <v>80662</v>
      </c>
      <c r="O90">
        <f>IF(AND(A90&gt;0,A90&lt;999),IFERROR(VLOOKUP(results0123[[#This Row],[Card]],U14M[],1,FALSE),0),0)</f>
        <v>0</v>
      </c>
      <c r="P90">
        <f t="shared" si="9"/>
        <v>999</v>
      </c>
      <c r="Q90">
        <f t="shared" si="10"/>
        <v>999</v>
      </c>
      <c r="R90">
        <f t="shared" si="11"/>
        <v>999</v>
      </c>
    </row>
    <row r="91" spans="1:18" x14ac:dyDescent="0.25">
      <c r="A91" s="17">
        <v>999</v>
      </c>
      <c r="B91" s="18">
        <v>78669</v>
      </c>
      <c r="C91" s="18">
        <v>43</v>
      </c>
      <c r="D91" s="19" t="s">
        <v>116</v>
      </c>
      <c r="E91" s="19" t="s">
        <v>117</v>
      </c>
      <c r="F91" s="18">
        <v>4</v>
      </c>
      <c r="G91" s="19" t="s">
        <v>16</v>
      </c>
      <c r="H91" s="19" t="s">
        <v>215</v>
      </c>
      <c r="I91" s="19"/>
      <c r="J91" s="19"/>
      <c r="K91" s="20">
        <v>0</v>
      </c>
      <c r="N91">
        <f t="shared" si="8"/>
        <v>78669</v>
      </c>
      <c r="O91">
        <f>IF(AND(A91&gt;0,A91&lt;999),IFERROR(VLOOKUP(results0123[[#This Row],[Card]],U14M[],1,FALSE),0),0)</f>
        <v>0</v>
      </c>
      <c r="P91">
        <f t="shared" si="9"/>
        <v>999</v>
      </c>
      <c r="Q91">
        <f t="shared" si="10"/>
        <v>999</v>
      </c>
      <c r="R91">
        <f t="shared" si="11"/>
        <v>999</v>
      </c>
    </row>
    <row r="92" spans="1:18" x14ac:dyDescent="0.25">
      <c r="A92" s="13">
        <v>999</v>
      </c>
      <c r="B92" s="14">
        <v>76510</v>
      </c>
      <c r="C92" s="14">
        <v>5</v>
      </c>
      <c r="D92" s="15" t="s">
        <v>186</v>
      </c>
      <c r="E92" s="15" t="s">
        <v>38</v>
      </c>
      <c r="F92" s="14">
        <v>4</v>
      </c>
      <c r="G92" s="15" t="s">
        <v>16</v>
      </c>
      <c r="H92" s="15" t="s">
        <v>215</v>
      </c>
      <c r="I92" s="15"/>
      <c r="J92" s="15"/>
      <c r="K92" s="16">
        <v>0</v>
      </c>
      <c r="N92">
        <f t="shared" si="8"/>
        <v>76510</v>
      </c>
      <c r="O92">
        <f>IF(AND(A92&gt;0,A92&lt;999),IFERROR(VLOOKUP(results0123[[#This Row],[Card]],U14M[],1,FALSE),0),0)</f>
        <v>0</v>
      </c>
      <c r="P92">
        <f t="shared" si="9"/>
        <v>999</v>
      </c>
      <c r="Q92">
        <f t="shared" si="10"/>
        <v>999</v>
      </c>
      <c r="R92">
        <f t="shared" si="11"/>
        <v>999</v>
      </c>
    </row>
    <row r="93" spans="1:18" x14ac:dyDescent="0.25">
      <c r="A93" s="17">
        <v>999</v>
      </c>
      <c r="B93" s="18">
        <v>81322</v>
      </c>
      <c r="C93" s="18">
        <v>37</v>
      </c>
      <c r="D93" s="19" t="s">
        <v>72</v>
      </c>
      <c r="E93" s="19" t="s">
        <v>22</v>
      </c>
      <c r="F93" s="18">
        <v>4</v>
      </c>
      <c r="G93" s="19" t="s">
        <v>16</v>
      </c>
      <c r="H93" s="19" t="s">
        <v>215</v>
      </c>
      <c r="I93" s="19"/>
      <c r="J93" s="19"/>
      <c r="K93" s="20">
        <v>0</v>
      </c>
      <c r="N93">
        <f t="shared" si="8"/>
        <v>81322</v>
      </c>
      <c r="O93">
        <f>IF(AND(A93&gt;0,A93&lt;999),IFERROR(VLOOKUP(results0123[[#This Row],[Card]],U14M[],1,FALSE),0),0)</f>
        <v>0</v>
      </c>
      <c r="P93">
        <f t="shared" si="9"/>
        <v>999</v>
      </c>
      <c r="Q93">
        <f t="shared" si="10"/>
        <v>999</v>
      </c>
      <c r="R93">
        <f t="shared" si="11"/>
        <v>999</v>
      </c>
    </row>
    <row r="94" spans="1:18" x14ac:dyDescent="0.25">
      <c r="A94" s="13">
        <v>999</v>
      </c>
      <c r="B94" s="14">
        <v>85454</v>
      </c>
      <c r="C94" s="14">
        <v>108</v>
      </c>
      <c r="D94" s="15" t="s">
        <v>218</v>
      </c>
      <c r="E94" s="15" t="s">
        <v>54</v>
      </c>
      <c r="F94" s="14">
        <v>5</v>
      </c>
      <c r="G94" s="15" t="s">
        <v>16</v>
      </c>
      <c r="H94" s="15" t="s">
        <v>215</v>
      </c>
      <c r="I94" s="15"/>
      <c r="J94" s="15"/>
      <c r="K94" s="16">
        <v>0</v>
      </c>
      <c r="N94">
        <f t="shared" si="8"/>
        <v>85454</v>
      </c>
      <c r="O94">
        <f>IF(AND(A94&gt;0,A94&lt;999),IFERROR(VLOOKUP(results0123[[#This Row],[Card]],U14M[],1,FALSE),0),0)</f>
        <v>0</v>
      </c>
      <c r="P94">
        <f t="shared" si="9"/>
        <v>999</v>
      </c>
      <c r="Q94">
        <f t="shared" si="10"/>
        <v>999</v>
      </c>
      <c r="R94">
        <f t="shared" si="11"/>
        <v>999</v>
      </c>
    </row>
    <row r="95" spans="1:18" x14ac:dyDescent="0.25">
      <c r="A95" s="17">
        <v>999</v>
      </c>
      <c r="B95" s="18">
        <v>86128</v>
      </c>
      <c r="C95" s="18">
        <v>27</v>
      </c>
      <c r="D95" s="19" t="s">
        <v>461</v>
      </c>
      <c r="E95" s="19" t="s">
        <v>61</v>
      </c>
      <c r="F95" s="18">
        <v>5</v>
      </c>
      <c r="G95" s="19" t="s">
        <v>16</v>
      </c>
      <c r="H95" s="19" t="s">
        <v>215</v>
      </c>
      <c r="I95" s="19"/>
      <c r="J95" s="19"/>
      <c r="K95" s="20">
        <v>0</v>
      </c>
      <c r="N95">
        <f t="shared" si="8"/>
        <v>86128</v>
      </c>
      <c r="O95">
        <f>IF(AND(A95&gt;0,A95&lt;999),IFERROR(VLOOKUP(results0123[[#This Row],[Card]],U14M[],1,FALSE),0),0)</f>
        <v>0</v>
      </c>
      <c r="P95">
        <f t="shared" si="9"/>
        <v>999</v>
      </c>
      <c r="Q95">
        <f t="shared" si="10"/>
        <v>999</v>
      </c>
      <c r="R95">
        <f t="shared" si="11"/>
        <v>999</v>
      </c>
    </row>
    <row r="96" spans="1:18" x14ac:dyDescent="0.25">
      <c r="A96" s="13">
        <v>999</v>
      </c>
      <c r="B96" s="14">
        <v>80621</v>
      </c>
      <c r="C96" s="14">
        <v>48</v>
      </c>
      <c r="D96" s="15" t="s">
        <v>18</v>
      </c>
      <c r="E96" s="15" t="s">
        <v>19</v>
      </c>
      <c r="F96" s="14">
        <v>4</v>
      </c>
      <c r="G96" s="15" t="s">
        <v>16</v>
      </c>
      <c r="H96" s="15" t="s">
        <v>220</v>
      </c>
      <c r="I96" s="15">
        <v>42.29</v>
      </c>
      <c r="J96" s="15"/>
      <c r="K96" s="16">
        <v>0</v>
      </c>
      <c r="N96">
        <f t="shared" si="8"/>
        <v>80621</v>
      </c>
      <c r="O96">
        <f>IF(AND(A96&gt;0,A96&lt;999),IFERROR(VLOOKUP(results0123[[#This Row],[Card]],U14M[],1,FALSE),0),0)</f>
        <v>0</v>
      </c>
      <c r="P96">
        <f t="shared" si="9"/>
        <v>999</v>
      </c>
      <c r="Q96">
        <f t="shared" si="10"/>
        <v>999</v>
      </c>
      <c r="R96">
        <f t="shared" si="11"/>
        <v>27</v>
      </c>
    </row>
    <row r="97" spans="1:18" x14ac:dyDescent="0.25">
      <c r="A97" s="17">
        <v>999</v>
      </c>
      <c r="B97" s="18">
        <v>80809</v>
      </c>
      <c r="C97" s="18">
        <v>31</v>
      </c>
      <c r="D97" s="19" t="s">
        <v>53</v>
      </c>
      <c r="E97" s="19" t="s">
        <v>54</v>
      </c>
      <c r="F97" s="18">
        <v>4</v>
      </c>
      <c r="G97" s="19" t="s">
        <v>16</v>
      </c>
      <c r="H97" s="19" t="s">
        <v>220</v>
      </c>
      <c r="I97" s="19">
        <v>42.45</v>
      </c>
      <c r="J97" s="19"/>
      <c r="K97" s="20">
        <v>0</v>
      </c>
      <c r="N97">
        <f t="shared" si="8"/>
        <v>80809</v>
      </c>
      <c r="O97">
        <f>IF(AND(A97&gt;0,A97&lt;999),IFERROR(VLOOKUP(results0123[[#This Row],[Card]],U14M[],1,FALSE),0),0)</f>
        <v>0</v>
      </c>
      <c r="P97">
        <f t="shared" si="9"/>
        <v>999</v>
      </c>
      <c r="Q97">
        <f t="shared" si="10"/>
        <v>999</v>
      </c>
      <c r="R97">
        <f t="shared" si="11"/>
        <v>30</v>
      </c>
    </row>
    <row r="98" spans="1:18" x14ac:dyDescent="0.25">
      <c r="A98" s="13">
        <v>999</v>
      </c>
      <c r="B98" s="14">
        <v>81705</v>
      </c>
      <c r="C98" s="14">
        <v>15</v>
      </c>
      <c r="D98" s="15" t="s">
        <v>165</v>
      </c>
      <c r="E98" s="15" t="s">
        <v>31</v>
      </c>
      <c r="F98" s="14">
        <v>4</v>
      </c>
      <c r="G98" s="15" t="s">
        <v>16</v>
      </c>
      <c r="H98" s="15" t="s">
        <v>220</v>
      </c>
      <c r="I98" s="15">
        <v>47.32</v>
      </c>
      <c r="J98" s="15"/>
      <c r="K98" s="16">
        <v>0</v>
      </c>
      <c r="N98">
        <f t="shared" ref="N98:N117" si="12">B98</f>
        <v>81705</v>
      </c>
      <c r="O98">
        <f>IF(AND(A98&gt;0,A98&lt;999),IFERROR(VLOOKUP(results0123[[#This Row],[Card]],U14M[],1,FALSE),0),0)</f>
        <v>0</v>
      </c>
      <c r="P98">
        <f t="shared" ref="P98:P117" si="13">A98</f>
        <v>999</v>
      </c>
      <c r="Q98">
        <f t="shared" ref="Q98:Q117" si="14">IFERROR(_xlfn.RANK.EQ(H98,$H$2:$H$117,1),999)</f>
        <v>999</v>
      </c>
      <c r="R98">
        <f t="shared" ref="R98:R117" si="15">IFERROR(_xlfn.RANK.EQ(I98,$I$2:$I$117,1),999)</f>
        <v>83</v>
      </c>
    </row>
    <row r="99" spans="1:18" x14ac:dyDescent="0.25">
      <c r="A99" s="17">
        <v>999</v>
      </c>
      <c r="B99" s="18">
        <v>80630</v>
      </c>
      <c r="C99" s="18">
        <v>2</v>
      </c>
      <c r="D99" s="19" t="s">
        <v>188</v>
      </c>
      <c r="E99" s="19" t="s">
        <v>19</v>
      </c>
      <c r="F99" s="18">
        <v>4</v>
      </c>
      <c r="G99" s="19" t="s">
        <v>16</v>
      </c>
      <c r="H99" s="19" t="s">
        <v>220</v>
      </c>
      <c r="I99" s="19">
        <v>46.5</v>
      </c>
      <c r="J99" s="19"/>
      <c r="K99" s="20">
        <v>0</v>
      </c>
      <c r="N99">
        <f t="shared" si="12"/>
        <v>80630</v>
      </c>
      <c r="O99">
        <f>IF(AND(A99&gt;0,A99&lt;999),IFERROR(VLOOKUP(results0123[[#This Row],[Card]],U14M[],1,FALSE),0),0)</f>
        <v>0</v>
      </c>
      <c r="P99">
        <f t="shared" si="13"/>
        <v>999</v>
      </c>
      <c r="Q99">
        <f t="shared" si="14"/>
        <v>999</v>
      </c>
      <c r="R99">
        <f t="shared" si="15"/>
        <v>79</v>
      </c>
    </row>
    <row r="100" spans="1:18" x14ac:dyDescent="0.25">
      <c r="A100" s="13">
        <v>999</v>
      </c>
      <c r="B100" s="14">
        <v>81740</v>
      </c>
      <c r="C100" s="14">
        <v>84</v>
      </c>
      <c r="D100" s="15" t="s">
        <v>160</v>
      </c>
      <c r="E100" s="15" t="s">
        <v>31</v>
      </c>
      <c r="F100" s="14">
        <v>4</v>
      </c>
      <c r="G100" s="15" t="s">
        <v>16</v>
      </c>
      <c r="H100" s="15" t="s">
        <v>220</v>
      </c>
      <c r="I100" s="15">
        <v>43.08</v>
      </c>
      <c r="J100" s="15"/>
      <c r="K100" s="16">
        <v>0</v>
      </c>
      <c r="N100">
        <f t="shared" si="12"/>
        <v>81740</v>
      </c>
      <c r="O100">
        <f>IF(AND(A100&gt;0,A100&lt;999),IFERROR(VLOOKUP(results0123[[#This Row],[Card]],U14M[],1,FALSE),0),0)</f>
        <v>0</v>
      </c>
      <c r="P100">
        <f t="shared" si="13"/>
        <v>999</v>
      </c>
      <c r="Q100">
        <f t="shared" si="14"/>
        <v>999</v>
      </c>
      <c r="R100">
        <f t="shared" si="15"/>
        <v>35</v>
      </c>
    </row>
    <row r="101" spans="1:18" x14ac:dyDescent="0.25">
      <c r="A101" s="17">
        <v>999</v>
      </c>
      <c r="B101" s="18">
        <v>81781</v>
      </c>
      <c r="C101" s="18">
        <v>47</v>
      </c>
      <c r="D101" s="19" t="s">
        <v>200</v>
      </c>
      <c r="E101" s="19" t="s">
        <v>38</v>
      </c>
      <c r="F101" s="18">
        <v>5</v>
      </c>
      <c r="G101" s="19" t="s">
        <v>16</v>
      </c>
      <c r="H101" s="19" t="s">
        <v>220</v>
      </c>
      <c r="I101" s="19">
        <v>46.62</v>
      </c>
      <c r="J101" s="19"/>
      <c r="K101" s="20">
        <v>0</v>
      </c>
      <c r="N101">
        <f t="shared" si="12"/>
        <v>81781</v>
      </c>
      <c r="O101">
        <f>IF(AND(A101&gt;0,A101&lt;999),IFERROR(VLOOKUP(results0123[[#This Row],[Card]],U14M[],1,FALSE),0),0)</f>
        <v>0</v>
      </c>
      <c r="P101">
        <f t="shared" si="13"/>
        <v>999</v>
      </c>
      <c r="Q101">
        <f t="shared" si="14"/>
        <v>999</v>
      </c>
      <c r="R101">
        <f t="shared" si="15"/>
        <v>80</v>
      </c>
    </row>
    <row r="102" spans="1:18" x14ac:dyDescent="0.25">
      <c r="A102" s="13">
        <v>999</v>
      </c>
      <c r="B102" s="14">
        <v>75018</v>
      </c>
      <c r="C102" s="14">
        <v>68</v>
      </c>
      <c r="D102" s="15" t="s">
        <v>60</v>
      </c>
      <c r="E102" s="15" t="s">
        <v>61</v>
      </c>
      <c r="F102" s="14">
        <v>4</v>
      </c>
      <c r="G102" s="15" t="s">
        <v>16</v>
      </c>
      <c r="H102" s="15">
        <v>43.46</v>
      </c>
      <c r="I102" s="15" t="s">
        <v>215</v>
      </c>
      <c r="J102" s="15"/>
      <c r="K102" s="16">
        <v>0</v>
      </c>
      <c r="N102">
        <f t="shared" si="12"/>
        <v>75018</v>
      </c>
      <c r="O102">
        <f>IF(AND(A102&gt;0,A102&lt;999),IFERROR(VLOOKUP(results0123[[#This Row],[Card]],U14M[],1,FALSE),0),0)</f>
        <v>0</v>
      </c>
      <c r="P102">
        <f t="shared" si="13"/>
        <v>999</v>
      </c>
      <c r="Q102">
        <f t="shared" si="14"/>
        <v>34</v>
      </c>
      <c r="R102">
        <f t="shared" si="15"/>
        <v>999</v>
      </c>
    </row>
    <row r="103" spans="1:18" x14ac:dyDescent="0.25">
      <c r="A103" s="17">
        <v>999</v>
      </c>
      <c r="B103" s="18">
        <v>85853</v>
      </c>
      <c r="C103" s="18">
        <v>40</v>
      </c>
      <c r="D103" s="19" t="s">
        <v>82</v>
      </c>
      <c r="E103" s="19" t="s">
        <v>15</v>
      </c>
      <c r="F103" s="18">
        <v>5</v>
      </c>
      <c r="G103" s="19" t="s">
        <v>16</v>
      </c>
      <c r="H103" s="19">
        <v>43.13</v>
      </c>
      <c r="I103" s="19" t="s">
        <v>215</v>
      </c>
      <c r="J103" s="19"/>
      <c r="K103" s="20">
        <v>0</v>
      </c>
      <c r="N103">
        <f t="shared" si="12"/>
        <v>85853</v>
      </c>
      <c r="O103">
        <f>IF(AND(A103&gt;0,A103&lt;999),IFERROR(VLOOKUP(results0123[[#This Row],[Card]],U14M[],1,FALSE),0),0)</f>
        <v>0</v>
      </c>
      <c r="P103">
        <f t="shared" si="13"/>
        <v>999</v>
      </c>
      <c r="Q103">
        <f t="shared" si="14"/>
        <v>26</v>
      </c>
      <c r="R103">
        <f t="shared" si="15"/>
        <v>999</v>
      </c>
    </row>
    <row r="104" spans="1:18" x14ac:dyDescent="0.25">
      <c r="A104" s="13">
        <v>999</v>
      </c>
      <c r="B104" s="14">
        <v>82224</v>
      </c>
      <c r="C104" s="14">
        <v>19</v>
      </c>
      <c r="D104" s="15" t="s">
        <v>190</v>
      </c>
      <c r="E104" s="15" t="s">
        <v>101</v>
      </c>
      <c r="F104" s="14">
        <v>4</v>
      </c>
      <c r="G104" s="15" t="s">
        <v>16</v>
      </c>
      <c r="H104" s="15">
        <v>46.96</v>
      </c>
      <c r="I104" s="15" t="s">
        <v>215</v>
      </c>
      <c r="J104" s="15"/>
      <c r="K104" s="16">
        <v>0</v>
      </c>
      <c r="N104">
        <f t="shared" si="12"/>
        <v>82224</v>
      </c>
      <c r="O104">
        <f>IF(AND(A104&gt;0,A104&lt;999),IFERROR(VLOOKUP(results0123[[#This Row],[Card]],U14M[],1,FALSE),0),0)</f>
        <v>0</v>
      </c>
      <c r="P104">
        <f t="shared" si="13"/>
        <v>999</v>
      </c>
      <c r="Q104">
        <f t="shared" si="14"/>
        <v>87</v>
      </c>
      <c r="R104">
        <f t="shared" si="15"/>
        <v>999</v>
      </c>
    </row>
    <row r="105" spans="1:18" x14ac:dyDescent="0.25">
      <c r="A105" s="17">
        <v>999</v>
      </c>
      <c r="B105" s="18">
        <v>80835</v>
      </c>
      <c r="C105" s="18">
        <v>71</v>
      </c>
      <c r="D105" s="19" t="s">
        <v>302</v>
      </c>
      <c r="E105" s="19" t="s">
        <v>54</v>
      </c>
      <c r="F105" s="18">
        <v>5</v>
      </c>
      <c r="G105" s="19" t="s">
        <v>16</v>
      </c>
      <c r="H105" s="19">
        <v>45.68</v>
      </c>
      <c r="I105" s="19" t="s">
        <v>215</v>
      </c>
      <c r="J105" s="19"/>
      <c r="K105" s="20">
        <v>0</v>
      </c>
      <c r="N105">
        <f t="shared" si="12"/>
        <v>80835</v>
      </c>
      <c r="O105">
        <f>IF(AND(A105&gt;0,A105&lt;999),IFERROR(VLOOKUP(results0123[[#This Row],[Card]],U14M[],1,FALSE),0),0)</f>
        <v>0</v>
      </c>
      <c r="P105">
        <f t="shared" si="13"/>
        <v>999</v>
      </c>
      <c r="Q105">
        <f t="shared" si="14"/>
        <v>73</v>
      </c>
      <c r="R105">
        <f t="shared" si="15"/>
        <v>999</v>
      </c>
    </row>
    <row r="106" spans="1:18" x14ac:dyDescent="0.25">
      <c r="A106" s="13">
        <v>999</v>
      </c>
      <c r="B106" s="14">
        <v>84868</v>
      </c>
      <c r="C106" s="14">
        <v>36</v>
      </c>
      <c r="D106" s="15" t="s">
        <v>312</v>
      </c>
      <c r="E106" s="15" t="s">
        <v>54</v>
      </c>
      <c r="F106" s="14">
        <v>5</v>
      </c>
      <c r="G106" s="15" t="s">
        <v>16</v>
      </c>
      <c r="H106" s="15">
        <v>48.78</v>
      </c>
      <c r="I106" s="15" t="s">
        <v>215</v>
      </c>
      <c r="J106" s="15"/>
      <c r="K106" s="16">
        <v>0</v>
      </c>
      <c r="N106">
        <f t="shared" si="12"/>
        <v>84868</v>
      </c>
      <c r="O106">
        <f>IF(AND(A106&gt;0,A106&lt;999),IFERROR(VLOOKUP(results0123[[#This Row],[Card]],U14M[],1,FALSE),0),0)</f>
        <v>0</v>
      </c>
      <c r="P106">
        <f t="shared" si="13"/>
        <v>999</v>
      </c>
      <c r="Q106">
        <f t="shared" si="14"/>
        <v>96</v>
      </c>
      <c r="R106">
        <f t="shared" si="15"/>
        <v>999</v>
      </c>
    </row>
    <row r="107" spans="1:18" x14ac:dyDescent="0.25">
      <c r="A107" s="17">
        <v>999</v>
      </c>
      <c r="B107" s="18">
        <v>80698</v>
      </c>
      <c r="C107" s="18">
        <v>58</v>
      </c>
      <c r="D107" s="19" t="s">
        <v>30</v>
      </c>
      <c r="E107" s="19" t="s">
        <v>31</v>
      </c>
      <c r="F107" s="18">
        <v>4</v>
      </c>
      <c r="G107" s="19" t="s">
        <v>16</v>
      </c>
      <c r="H107" s="19">
        <v>41.6</v>
      </c>
      <c r="I107" s="19" t="s">
        <v>220</v>
      </c>
      <c r="J107" s="19"/>
      <c r="K107" s="20">
        <v>0</v>
      </c>
      <c r="N107">
        <f t="shared" si="12"/>
        <v>80698</v>
      </c>
      <c r="O107">
        <f>IF(AND(A107&gt;0,A107&lt;999),IFERROR(VLOOKUP(results0123[[#This Row],[Card]],U14M[],1,FALSE),0),0)</f>
        <v>0</v>
      </c>
      <c r="P107">
        <f t="shared" si="13"/>
        <v>999</v>
      </c>
      <c r="Q107">
        <f t="shared" si="14"/>
        <v>6</v>
      </c>
      <c r="R107">
        <f t="shared" si="15"/>
        <v>999</v>
      </c>
    </row>
    <row r="108" spans="1:18" x14ac:dyDescent="0.25">
      <c r="A108" s="13">
        <v>999</v>
      </c>
      <c r="B108" s="14">
        <v>80709</v>
      </c>
      <c r="C108" s="14">
        <v>95</v>
      </c>
      <c r="D108" s="15" t="s">
        <v>24</v>
      </c>
      <c r="E108" s="15" t="s">
        <v>22</v>
      </c>
      <c r="F108" s="14">
        <v>5</v>
      </c>
      <c r="G108" s="15" t="s">
        <v>16</v>
      </c>
      <c r="H108" s="15">
        <v>42.56</v>
      </c>
      <c r="I108" s="15" t="s">
        <v>220</v>
      </c>
      <c r="J108" s="15"/>
      <c r="K108" s="16">
        <v>0</v>
      </c>
      <c r="N108">
        <f t="shared" si="12"/>
        <v>80709</v>
      </c>
      <c r="O108">
        <f>IF(AND(A108&gt;0,A108&lt;999),IFERROR(VLOOKUP(results0123[[#This Row],[Card]],U14M[],1,FALSE),0),0)</f>
        <v>0</v>
      </c>
      <c r="P108">
        <f t="shared" si="13"/>
        <v>999</v>
      </c>
      <c r="Q108">
        <f t="shared" si="14"/>
        <v>16</v>
      </c>
      <c r="R108">
        <f t="shared" si="15"/>
        <v>999</v>
      </c>
    </row>
    <row r="109" spans="1:18" x14ac:dyDescent="0.25">
      <c r="A109" s="17">
        <v>999</v>
      </c>
      <c r="B109" s="18">
        <v>85883</v>
      </c>
      <c r="C109" s="18">
        <v>25</v>
      </c>
      <c r="D109" s="19" t="s">
        <v>51</v>
      </c>
      <c r="E109" s="19" t="s">
        <v>15</v>
      </c>
      <c r="F109" s="18">
        <v>4</v>
      </c>
      <c r="G109" s="19" t="s">
        <v>16</v>
      </c>
      <c r="H109" s="19">
        <v>42.22</v>
      </c>
      <c r="I109" s="19" t="s">
        <v>220</v>
      </c>
      <c r="J109" s="19"/>
      <c r="K109" s="20">
        <v>0</v>
      </c>
      <c r="N109">
        <f t="shared" si="12"/>
        <v>85883</v>
      </c>
      <c r="O109">
        <f>IF(AND(A109&gt;0,A109&lt;999),IFERROR(VLOOKUP(results0123[[#This Row],[Card]],U14M[],1,FALSE),0),0)</f>
        <v>0</v>
      </c>
      <c r="P109">
        <f t="shared" si="13"/>
        <v>999</v>
      </c>
      <c r="Q109">
        <f t="shared" si="14"/>
        <v>11</v>
      </c>
      <c r="R109">
        <f t="shared" si="15"/>
        <v>999</v>
      </c>
    </row>
    <row r="110" spans="1:18" x14ac:dyDescent="0.25">
      <c r="A110" s="13">
        <v>999</v>
      </c>
      <c r="B110" s="14">
        <v>82186</v>
      </c>
      <c r="C110" s="14">
        <v>65</v>
      </c>
      <c r="D110" s="15" t="s">
        <v>114</v>
      </c>
      <c r="E110" s="15" t="s">
        <v>15</v>
      </c>
      <c r="F110" s="14">
        <v>4</v>
      </c>
      <c r="G110" s="15" t="s">
        <v>16</v>
      </c>
      <c r="H110" s="15">
        <v>43.6</v>
      </c>
      <c r="I110" s="15" t="s">
        <v>220</v>
      </c>
      <c r="J110" s="15"/>
      <c r="K110" s="16">
        <v>0</v>
      </c>
      <c r="N110">
        <f t="shared" si="12"/>
        <v>82186</v>
      </c>
      <c r="O110">
        <f>IF(AND(A110&gt;0,A110&lt;999),IFERROR(VLOOKUP(results0123[[#This Row],[Card]],U14M[],1,FALSE),0),0)</f>
        <v>0</v>
      </c>
      <c r="P110">
        <f t="shared" si="13"/>
        <v>999</v>
      </c>
      <c r="Q110">
        <f t="shared" si="14"/>
        <v>37</v>
      </c>
      <c r="R110">
        <f t="shared" si="15"/>
        <v>999</v>
      </c>
    </row>
    <row r="111" spans="1:18" x14ac:dyDescent="0.25">
      <c r="A111" s="17">
        <v>999</v>
      </c>
      <c r="B111" s="18">
        <v>80720</v>
      </c>
      <c r="C111" s="18">
        <v>69</v>
      </c>
      <c r="D111" s="19" t="s">
        <v>98</v>
      </c>
      <c r="E111" s="19" t="s">
        <v>22</v>
      </c>
      <c r="F111" s="18">
        <v>5</v>
      </c>
      <c r="G111" s="19" t="s">
        <v>16</v>
      </c>
      <c r="H111" s="19">
        <v>43</v>
      </c>
      <c r="I111" s="19" t="s">
        <v>220</v>
      </c>
      <c r="J111" s="19"/>
      <c r="K111" s="20">
        <v>0</v>
      </c>
      <c r="N111">
        <f t="shared" si="12"/>
        <v>80720</v>
      </c>
      <c r="O111">
        <f>IF(AND(A111&gt;0,A111&lt;999),IFERROR(VLOOKUP(results0123[[#This Row],[Card]],U14M[],1,FALSE),0),0)</f>
        <v>0</v>
      </c>
      <c r="P111">
        <f t="shared" si="13"/>
        <v>999</v>
      </c>
      <c r="Q111">
        <f t="shared" si="14"/>
        <v>21</v>
      </c>
      <c r="R111">
        <f t="shared" si="15"/>
        <v>999</v>
      </c>
    </row>
    <row r="112" spans="1:18" x14ac:dyDescent="0.25">
      <c r="A112" s="13">
        <v>999</v>
      </c>
      <c r="B112" s="14">
        <v>78398</v>
      </c>
      <c r="C112" s="14">
        <v>82</v>
      </c>
      <c r="D112" s="15" t="s">
        <v>156</v>
      </c>
      <c r="E112" s="15" t="s">
        <v>19</v>
      </c>
      <c r="F112" s="14">
        <v>4</v>
      </c>
      <c r="G112" s="15" t="s">
        <v>16</v>
      </c>
      <c r="H112" s="15">
        <v>46.06</v>
      </c>
      <c r="I112" s="15" t="s">
        <v>220</v>
      </c>
      <c r="J112" s="15"/>
      <c r="K112" s="16">
        <v>0</v>
      </c>
      <c r="N112">
        <f t="shared" si="12"/>
        <v>78398</v>
      </c>
      <c r="O112">
        <f>IF(AND(A112&gt;0,A112&lt;999),IFERROR(VLOOKUP(results0123[[#This Row],[Card]],U14M[],1,FALSE),0),0)</f>
        <v>0</v>
      </c>
      <c r="P112">
        <f t="shared" si="13"/>
        <v>999</v>
      </c>
      <c r="Q112">
        <f t="shared" si="14"/>
        <v>78</v>
      </c>
      <c r="R112">
        <f t="shared" si="15"/>
        <v>999</v>
      </c>
    </row>
    <row r="113" spans="1:18" x14ac:dyDescent="0.25">
      <c r="A113" s="17">
        <v>999</v>
      </c>
      <c r="B113" s="18">
        <v>81810</v>
      </c>
      <c r="C113" s="18">
        <v>46</v>
      </c>
      <c r="D113" s="19" t="s">
        <v>329</v>
      </c>
      <c r="E113" s="19" t="s">
        <v>54</v>
      </c>
      <c r="F113" s="18">
        <v>4</v>
      </c>
      <c r="G113" s="19" t="s">
        <v>16</v>
      </c>
      <c r="H113" s="19">
        <v>44.86</v>
      </c>
      <c r="I113" s="19" t="s">
        <v>220</v>
      </c>
      <c r="J113" s="19"/>
      <c r="K113" s="20">
        <v>0</v>
      </c>
      <c r="N113">
        <f t="shared" si="12"/>
        <v>81810</v>
      </c>
      <c r="O113">
        <f>IF(AND(A113&gt;0,A113&lt;999),IFERROR(VLOOKUP(results0123[[#This Row],[Card]],U14M[],1,FALSE),0),0)</f>
        <v>0</v>
      </c>
      <c r="P113">
        <f t="shared" si="13"/>
        <v>999</v>
      </c>
      <c r="Q113">
        <f t="shared" si="14"/>
        <v>57</v>
      </c>
      <c r="R113">
        <f t="shared" si="15"/>
        <v>999</v>
      </c>
    </row>
    <row r="114" spans="1:18" x14ac:dyDescent="0.25">
      <c r="A114" s="13">
        <v>999</v>
      </c>
      <c r="B114" s="14">
        <v>78783</v>
      </c>
      <c r="C114" s="14">
        <v>109</v>
      </c>
      <c r="D114" s="15" t="s">
        <v>198</v>
      </c>
      <c r="E114" s="15" t="s">
        <v>47</v>
      </c>
      <c r="F114" s="14">
        <v>5</v>
      </c>
      <c r="G114" s="15" t="s">
        <v>16</v>
      </c>
      <c r="H114" s="15">
        <v>46.53</v>
      </c>
      <c r="I114" s="15" t="s">
        <v>220</v>
      </c>
      <c r="J114" s="15"/>
      <c r="K114" s="16">
        <v>0</v>
      </c>
      <c r="N114">
        <f t="shared" si="12"/>
        <v>78783</v>
      </c>
      <c r="O114">
        <f>IF(AND(A114&gt;0,A114&lt;999),IFERROR(VLOOKUP(results0123[[#This Row],[Card]],U14M[],1,FALSE),0),0)</f>
        <v>0</v>
      </c>
      <c r="P114">
        <f t="shared" si="13"/>
        <v>999</v>
      </c>
      <c r="Q114">
        <f t="shared" si="14"/>
        <v>85</v>
      </c>
      <c r="R114">
        <f t="shared" si="15"/>
        <v>999</v>
      </c>
    </row>
    <row r="115" spans="1:18" x14ac:dyDescent="0.25">
      <c r="A115" s="17">
        <v>999</v>
      </c>
      <c r="B115" s="18">
        <v>78414</v>
      </c>
      <c r="C115" s="18">
        <v>10</v>
      </c>
      <c r="D115" s="19" t="s">
        <v>202</v>
      </c>
      <c r="E115" s="19" t="s">
        <v>155</v>
      </c>
      <c r="F115" s="18">
        <v>4</v>
      </c>
      <c r="G115" s="19" t="s">
        <v>16</v>
      </c>
      <c r="H115" s="19">
        <v>47.98</v>
      </c>
      <c r="I115" s="19" t="s">
        <v>220</v>
      </c>
      <c r="J115" s="19"/>
      <c r="K115" s="20">
        <v>0</v>
      </c>
      <c r="N115">
        <f t="shared" si="12"/>
        <v>78414</v>
      </c>
      <c r="O115">
        <f>IF(AND(A115&gt;0,A115&lt;999),IFERROR(VLOOKUP(results0123[[#This Row],[Card]],U14M[],1,FALSE),0),0)</f>
        <v>0</v>
      </c>
      <c r="P115">
        <f t="shared" si="13"/>
        <v>999</v>
      </c>
      <c r="Q115">
        <f t="shared" si="14"/>
        <v>93</v>
      </c>
      <c r="R115">
        <f t="shared" si="15"/>
        <v>999</v>
      </c>
    </row>
    <row r="116" spans="1:18" x14ac:dyDescent="0.25">
      <c r="A116" s="13">
        <v>999</v>
      </c>
      <c r="B116" s="14">
        <v>80690</v>
      </c>
      <c r="C116" s="14">
        <v>12</v>
      </c>
      <c r="D116" s="15" t="s">
        <v>148</v>
      </c>
      <c r="E116" s="15" t="s">
        <v>31</v>
      </c>
      <c r="F116" s="14">
        <v>5</v>
      </c>
      <c r="G116" s="15" t="s">
        <v>16</v>
      </c>
      <c r="H116" s="15">
        <v>43.16</v>
      </c>
      <c r="I116" s="15" t="s">
        <v>220</v>
      </c>
      <c r="J116" s="15"/>
      <c r="K116" s="16">
        <v>0</v>
      </c>
      <c r="N116">
        <f t="shared" si="12"/>
        <v>80690</v>
      </c>
      <c r="O116">
        <f>IF(AND(A116&gt;0,A116&lt;999),IFERROR(VLOOKUP(results0123[[#This Row],[Card]],U14M[],1,FALSE),0),0)</f>
        <v>0</v>
      </c>
      <c r="P116">
        <f t="shared" si="13"/>
        <v>999</v>
      </c>
      <c r="Q116">
        <f t="shared" si="14"/>
        <v>27</v>
      </c>
      <c r="R116">
        <f t="shared" si="15"/>
        <v>999</v>
      </c>
    </row>
    <row r="117" spans="1:18" x14ac:dyDescent="0.25">
      <c r="A117" s="6">
        <v>999</v>
      </c>
      <c r="B117" s="7">
        <v>89505</v>
      </c>
      <c r="C117" s="7">
        <v>4</v>
      </c>
      <c r="D117" s="8" t="s">
        <v>387</v>
      </c>
      <c r="E117" s="8" t="s">
        <v>388</v>
      </c>
      <c r="F117" s="7">
        <v>5</v>
      </c>
      <c r="G117" s="8" t="s">
        <v>16</v>
      </c>
      <c r="H117" s="8">
        <v>43.1</v>
      </c>
      <c r="I117" s="8" t="s">
        <v>809</v>
      </c>
      <c r="J117" s="8"/>
      <c r="K117" s="9">
        <v>0</v>
      </c>
      <c r="N117">
        <f t="shared" si="12"/>
        <v>89505</v>
      </c>
      <c r="O117">
        <f>IF(AND(A117&gt;0,A117&lt;999),IFERROR(VLOOKUP(results0123[[#This Row],[Card]],U14M[],1,FALSE),0),0)</f>
        <v>0</v>
      </c>
      <c r="P117">
        <f t="shared" si="13"/>
        <v>999</v>
      </c>
      <c r="Q117">
        <f t="shared" si="14"/>
        <v>24</v>
      </c>
      <c r="R117">
        <f t="shared" si="15"/>
        <v>999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workbookViewId="0">
      <selection activeCell="R10" sqref="R10"/>
    </sheetView>
  </sheetViews>
  <sheetFormatPr defaultRowHeight="15" x14ac:dyDescent="0.25"/>
  <cols>
    <col min="1" max="1" width="7.42578125" bestFit="1" customWidth="1"/>
    <col min="2" max="2" width="7.140625" bestFit="1" customWidth="1"/>
    <col min="3" max="3" width="5.85546875" bestFit="1" customWidth="1"/>
    <col min="4" max="4" width="24.5703125" bestFit="1" customWidth="1"/>
    <col min="5" max="5" width="7" bestFit="1" customWidth="1"/>
    <col min="6" max="6" width="6.7109375" bestFit="1" customWidth="1"/>
    <col min="7" max="7" width="10.7109375" bestFit="1" customWidth="1"/>
    <col min="8" max="8" width="9.42578125" bestFit="1" customWidth="1"/>
    <col min="9" max="9" width="9.7109375" bestFit="1" customWidth="1"/>
    <col min="10" max="10" width="12" bestFit="1" customWidth="1"/>
    <col min="11" max="11" width="8.42578125" bestFit="1" customWidth="1"/>
    <col min="17" max="18" width="11.85546875" customWidth="1"/>
  </cols>
  <sheetData>
    <row r="1" spans="1:18" ht="14.45" x14ac:dyDescent="0.3">
      <c r="A1" s="10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N1" s="21" t="s">
        <v>3</v>
      </c>
      <c r="O1" s="21" t="s">
        <v>226</v>
      </c>
      <c r="P1" s="21" t="s">
        <v>8</v>
      </c>
      <c r="Q1" s="21" t="s">
        <v>605</v>
      </c>
      <c r="R1" s="21" t="s">
        <v>606</v>
      </c>
    </row>
    <row r="2" spans="1:18" ht="14.45" x14ac:dyDescent="0.3">
      <c r="A2" s="13">
        <v>1</v>
      </c>
      <c r="B2" s="14">
        <v>77368</v>
      </c>
      <c r="C2" s="14">
        <v>77</v>
      </c>
      <c r="D2" s="15" t="s">
        <v>35</v>
      </c>
      <c r="E2" s="15" t="s">
        <v>15</v>
      </c>
      <c r="F2" s="14">
        <v>4</v>
      </c>
      <c r="G2" s="15" t="s">
        <v>16</v>
      </c>
      <c r="H2" s="15">
        <v>42.58</v>
      </c>
      <c r="I2" s="15">
        <v>40.880000000000003</v>
      </c>
      <c r="J2" s="15" t="s">
        <v>817</v>
      </c>
      <c r="K2" s="16">
        <v>0</v>
      </c>
      <c r="N2">
        <f t="shared" ref="N2:N33" si="0">B2</f>
        <v>77368</v>
      </c>
      <c r="O2">
        <f>IF(AND(A2&gt;0,A2&lt;999),IFERROR(VLOOKUP(results0120[[#This Row],[Card]],U14M[],1,FALSE),0),0)</f>
        <v>77368</v>
      </c>
      <c r="P2">
        <f t="shared" ref="P2:P33" si="1">A2</f>
        <v>1</v>
      </c>
      <c r="Q2">
        <f t="shared" ref="Q2:Q33" si="2">IFERROR(_xlfn.RANK.EQ(H2,$H$2:$H$113,1),999)</f>
        <v>3</v>
      </c>
      <c r="R2">
        <f t="shared" ref="R2:R33" si="3">IFERROR(_xlfn.RANK.EQ(I2,$I$2:$I$113,1),999)</f>
        <v>1</v>
      </c>
    </row>
    <row r="3" spans="1:18" ht="14.45" x14ac:dyDescent="0.3">
      <c r="A3" s="17">
        <v>2</v>
      </c>
      <c r="B3" s="18">
        <v>80680</v>
      </c>
      <c r="C3" s="18">
        <v>90</v>
      </c>
      <c r="D3" s="19" t="s">
        <v>28</v>
      </c>
      <c r="E3" s="19" t="s">
        <v>15</v>
      </c>
      <c r="F3" s="18">
        <v>4</v>
      </c>
      <c r="G3" s="19" t="s">
        <v>16</v>
      </c>
      <c r="H3" s="19">
        <v>42.48</v>
      </c>
      <c r="I3" s="19">
        <v>41.87</v>
      </c>
      <c r="J3" s="19" t="s">
        <v>818</v>
      </c>
      <c r="K3" s="20">
        <v>7.68</v>
      </c>
      <c r="N3">
        <f t="shared" si="0"/>
        <v>80680</v>
      </c>
      <c r="O3">
        <f>IF(AND(A3&gt;0,A3&lt;999),IFERROR(VLOOKUP(results0120[[#This Row],[Card]],U14M[],1,FALSE),0),0)</f>
        <v>80680</v>
      </c>
      <c r="P3">
        <f t="shared" si="1"/>
        <v>2</v>
      </c>
      <c r="Q3">
        <f t="shared" si="2"/>
        <v>2</v>
      </c>
      <c r="R3">
        <f t="shared" si="3"/>
        <v>2</v>
      </c>
    </row>
    <row r="4" spans="1:18" ht="14.45" x14ac:dyDescent="0.3">
      <c r="A4" s="13">
        <v>3</v>
      </c>
      <c r="B4" s="14">
        <v>78517</v>
      </c>
      <c r="C4" s="14">
        <v>91</v>
      </c>
      <c r="D4" s="15" t="s">
        <v>14</v>
      </c>
      <c r="E4" s="15" t="s">
        <v>15</v>
      </c>
      <c r="F4" s="14">
        <v>4</v>
      </c>
      <c r="G4" s="15" t="s">
        <v>16</v>
      </c>
      <c r="H4" s="15">
        <v>42.65</v>
      </c>
      <c r="I4" s="15">
        <v>42.66</v>
      </c>
      <c r="J4" s="15" t="s">
        <v>819</v>
      </c>
      <c r="K4" s="16">
        <v>15.96</v>
      </c>
      <c r="N4">
        <f t="shared" si="0"/>
        <v>78517</v>
      </c>
      <c r="O4">
        <f>IF(AND(A4&gt;0,A4&lt;999),IFERROR(VLOOKUP(results0120[[#This Row],[Card]],U14M[],1,FALSE),0),0)</f>
        <v>78517</v>
      </c>
      <c r="P4">
        <f t="shared" si="1"/>
        <v>3</v>
      </c>
      <c r="Q4">
        <f t="shared" si="2"/>
        <v>4</v>
      </c>
      <c r="R4">
        <f t="shared" si="3"/>
        <v>4</v>
      </c>
    </row>
    <row r="5" spans="1:18" ht="14.45" x14ac:dyDescent="0.3">
      <c r="A5" s="17">
        <v>4</v>
      </c>
      <c r="B5" s="18">
        <v>81073</v>
      </c>
      <c r="C5" s="18">
        <v>5</v>
      </c>
      <c r="D5" s="19" t="s">
        <v>40</v>
      </c>
      <c r="E5" s="19" t="s">
        <v>15</v>
      </c>
      <c r="F5" s="18">
        <v>4</v>
      </c>
      <c r="G5" s="19" t="s">
        <v>16</v>
      </c>
      <c r="H5" s="19">
        <v>42.27</v>
      </c>
      <c r="I5" s="19">
        <v>43.6</v>
      </c>
      <c r="J5" s="19" t="s">
        <v>820</v>
      </c>
      <c r="K5" s="20">
        <v>20.79</v>
      </c>
      <c r="N5">
        <f t="shared" si="0"/>
        <v>81073</v>
      </c>
      <c r="O5">
        <f>IF(AND(A5&gt;0,A5&lt;999),IFERROR(VLOOKUP(results0120[[#This Row],[Card]],U14M[],1,FALSE),0),0)</f>
        <v>81073</v>
      </c>
      <c r="P5">
        <f t="shared" si="1"/>
        <v>4</v>
      </c>
      <c r="Q5">
        <f t="shared" si="2"/>
        <v>1</v>
      </c>
      <c r="R5">
        <f t="shared" si="3"/>
        <v>7</v>
      </c>
    </row>
    <row r="6" spans="1:18" ht="14.45" x14ac:dyDescent="0.3">
      <c r="A6" s="13">
        <v>5</v>
      </c>
      <c r="B6" s="14">
        <v>80709</v>
      </c>
      <c r="C6" s="14">
        <v>60</v>
      </c>
      <c r="D6" s="15" t="s">
        <v>24</v>
      </c>
      <c r="E6" s="15" t="s">
        <v>22</v>
      </c>
      <c r="F6" s="14">
        <v>5</v>
      </c>
      <c r="G6" s="15" t="s">
        <v>16</v>
      </c>
      <c r="H6" s="15">
        <v>43.26</v>
      </c>
      <c r="I6" s="15">
        <v>44</v>
      </c>
      <c r="J6" s="15" t="s">
        <v>821</v>
      </c>
      <c r="K6" s="16">
        <v>32.78</v>
      </c>
      <c r="N6">
        <f t="shared" si="0"/>
        <v>80709</v>
      </c>
      <c r="O6">
        <f>IF(AND(A6&gt;0,A6&lt;999),IFERROR(VLOOKUP(results0120[[#This Row],[Card]],U14M[],1,FALSE),0),0)</f>
        <v>80709</v>
      </c>
      <c r="P6">
        <f t="shared" si="1"/>
        <v>5</v>
      </c>
      <c r="Q6">
        <f t="shared" si="2"/>
        <v>6</v>
      </c>
      <c r="R6">
        <f t="shared" si="3"/>
        <v>10</v>
      </c>
    </row>
    <row r="7" spans="1:18" ht="14.45" x14ac:dyDescent="0.3">
      <c r="A7" s="17">
        <v>6</v>
      </c>
      <c r="B7" s="18">
        <v>75018</v>
      </c>
      <c r="C7" s="18">
        <v>62</v>
      </c>
      <c r="D7" s="19" t="s">
        <v>60</v>
      </c>
      <c r="E7" s="19" t="s">
        <v>61</v>
      </c>
      <c r="F7" s="18">
        <v>4</v>
      </c>
      <c r="G7" s="19" t="s">
        <v>16</v>
      </c>
      <c r="H7" s="19">
        <v>43.61</v>
      </c>
      <c r="I7" s="19">
        <v>43.88</v>
      </c>
      <c r="J7" s="19" t="s">
        <v>822</v>
      </c>
      <c r="K7" s="20">
        <v>34.770000000000003</v>
      </c>
      <c r="N7">
        <f t="shared" si="0"/>
        <v>75018</v>
      </c>
      <c r="O7">
        <f>IF(AND(A7&gt;0,A7&lt;999),IFERROR(VLOOKUP(results0120[[#This Row],[Card]],U14M[],1,FALSE),0),0)</f>
        <v>75018</v>
      </c>
      <c r="P7">
        <f t="shared" si="1"/>
        <v>6</v>
      </c>
      <c r="Q7">
        <f t="shared" si="2"/>
        <v>8</v>
      </c>
      <c r="R7">
        <f t="shared" si="3"/>
        <v>9</v>
      </c>
    </row>
    <row r="8" spans="1:18" ht="14.45" x14ac:dyDescent="0.3">
      <c r="A8" s="13">
        <v>7</v>
      </c>
      <c r="B8" s="14">
        <v>80685</v>
      </c>
      <c r="C8" s="14">
        <v>76</v>
      </c>
      <c r="D8" s="15" t="s">
        <v>74</v>
      </c>
      <c r="E8" s="15" t="s">
        <v>15</v>
      </c>
      <c r="F8" s="14">
        <v>4</v>
      </c>
      <c r="G8" s="15" t="s">
        <v>16</v>
      </c>
      <c r="H8" s="15">
        <v>43.6</v>
      </c>
      <c r="I8" s="15">
        <v>44</v>
      </c>
      <c r="J8" s="15" t="s">
        <v>823</v>
      </c>
      <c r="K8" s="16">
        <v>35.72</v>
      </c>
      <c r="N8">
        <f t="shared" si="0"/>
        <v>80685</v>
      </c>
      <c r="O8">
        <f>IF(AND(A8&gt;0,A8&lt;999),IFERROR(VLOOKUP(results0120[[#This Row],[Card]],U14M[],1,FALSE),0),0)</f>
        <v>80685</v>
      </c>
      <c r="P8">
        <f t="shared" si="1"/>
        <v>7</v>
      </c>
      <c r="Q8">
        <f t="shared" si="2"/>
        <v>7</v>
      </c>
      <c r="R8">
        <f t="shared" si="3"/>
        <v>10</v>
      </c>
    </row>
    <row r="9" spans="1:18" ht="14.45" x14ac:dyDescent="0.3">
      <c r="A9" s="17">
        <v>8</v>
      </c>
      <c r="B9" s="18">
        <v>80715</v>
      </c>
      <c r="C9" s="18">
        <v>43</v>
      </c>
      <c r="D9" s="19" t="s">
        <v>65</v>
      </c>
      <c r="E9" s="19" t="s">
        <v>22</v>
      </c>
      <c r="F9" s="18">
        <v>4</v>
      </c>
      <c r="G9" s="19" t="s">
        <v>16</v>
      </c>
      <c r="H9" s="19">
        <v>44.4</v>
      </c>
      <c r="I9" s="19">
        <v>44.11</v>
      </c>
      <c r="J9" s="19" t="s">
        <v>824</v>
      </c>
      <c r="K9" s="20">
        <v>43.57</v>
      </c>
      <c r="N9">
        <f t="shared" si="0"/>
        <v>80715</v>
      </c>
      <c r="O9">
        <f>IF(AND(A9&gt;0,A9&lt;999),IFERROR(VLOOKUP(results0120[[#This Row],[Card]],U14M[],1,FALSE),0),0)</f>
        <v>80715</v>
      </c>
      <c r="P9">
        <f t="shared" si="1"/>
        <v>8</v>
      </c>
      <c r="Q9">
        <f t="shared" si="2"/>
        <v>10</v>
      </c>
      <c r="R9">
        <f t="shared" si="3"/>
        <v>13</v>
      </c>
    </row>
    <row r="10" spans="1:18" ht="14.45" x14ac:dyDescent="0.3">
      <c r="A10" s="13">
        <v>9</v>
      </c>
      <c r="B10" s="14">
        <v>84829</v>
      </c>
      <c r="C10" s="14">
        <v>101</v>
      </c>
      <c r="D10" s="15" t="s">
        <v>68</v>
      </c>
      <c r="E10" s="15" t="s">
        <v>15</v>
      </c>
      <c r="F10" s="14">
        <v>5</v>
      </c>
      <c r="G10" s="15" t="s">
        <v>16</v>
      </c>
      <c r="H10" s="15">
        <v>45.17</v>
      </c>
      <c r="I10" s="15">
        <v>43.6</v>
      </c>
      <c r="J10" s="15" t="s">
        <v>825</v>
      </c>
      <c r="K10" s="16">
        <v>45.81</v>
      </c>
      <c r="N10">
        <f t="shared" si="0"/>
        <v>84829</v>
      </c>
      <c r="O10">
        <f>IF(AND(A10&gt;0,A10&lt;999),IFERROR(VLOOKUP(results0120[[#This Row],[Card]],U14M[],1,FALSE),0),0)</f>
        <v>84829</v>
      </c>
      <c r="P10">
        <f t="shared" si="1"/>
        <v>9</v>
      </c>
      <c r="Q10">
        <f t="shared" si="2"/>
        <v>14</v>
      </c>
      <c r="R10">
        <f t="shared" si="3"/>
        <v>7</v>
      </c>
    </row>
    <row r="11" spans="1:18" ht="14.45" x14ac:dyDescent="0.3">
      <c r="A11" s="17">
        <v>10</v>
      </c>
      <c r="B11" s="18">
        <v>82440</v>
      </c>
      <c r="C11" s="18">
        <v>56</v>
      </c>
      <c r="D11" s="19" t="s">
        <v>56</v>
      </c>
      <c r="E11" s="19" t="s">
        <v>15</v>
      </c>
      <c r="F11" s="18">
        <v>4</v>
      </c>
      <c r="G11" s="19" t="s">
        <v>16</v>
      </c>
      <c r="H11" s="19">
        <v>44.18</v>
      </c>
      <c r="I11" s="19">
        <v>44.76</v>
      </c>
      <c r="J11" s="19" t="s">
        <v>826</v>
      </c>
      <c r="K11" s="20">
        <v>47.28</v>
      </c>
      <c r="N11">
        <f t="shared" si="0"/>
        <v>82440</v>
      </c>
      <c r="O11">
        <f>IF(AND(A11&gt;0,A11&lt;999),IFERROR(VLOOKUP(results0120[[#This Row],[Card]],U14M[],1,FALSE),0),0)</f>
        <v>82440</v>
      </c>
      <c r="P11">
        <f t="shared" si="1"/>
        <v>10</v>
      </c>
      <c r="Q11">
        <f t="shared" si="2"/>
        <v>9</v>
      </c>
      <c r="R11">
        <f t="shared" si="3"/>
        <v>16</v>
      </c>
    </row>
    <row r="12" spans="1:18" ht="14.45" x14ac:dyDescent="0.3">
      <c r="A12" s="13">
        <v>11</v>
      </c>
      <c r="B12" s="14">
        <v>78610</v>
      </c>
      <c r="C12" s="14">
        <v>93</v>
      </c>
      <c r="D12" s="15" t="s">
        <v>133</v>
      </c>
      <c r="E12" s="15" t="s">
        <v>15</v>
      </c>
      <c r="F12" s="14">
        <v>5</v>
      </c>
      <c r="G12" s="15" t="s">
        <v>16</v>
      </c>
      <c r="H12" s="15">
        <v>45.52</v>
      </c>
      <c r="I12" s="15">
        <v>44.55</v>
      </c>
      <c r="J12" s="15" t="s">
        <v>827</v>
      </c>
      <c r="K12" s="16">
        <v>57.02</v>
      </c>
      <c r="N12">
        <f t="shared" si="0"/>
        <v>78610</v>
      </c>
      <c r="O12">
        <f>IF(AND(A12&gt;0,A12&lt;999),IFERROR(VLOOKUP(results0120[[#This Row],[Card]],U14M[],1,FALSE),0),0)</f>
        <v>78610</v>
      </c>
      <c r="P12">
        <f t="shared" si="1"/>
        <v>11</v>
      </c>
      <c r="Q12">
        <f t="shared" si="2"/>
        <v>20</v>
      </c>
      <c r="R12">
        <f t="shared" si="3"/>
        <v>15</v>
      </c>
    </row>
    <row r="13" spans="1:18" ht="14.45" x14ac:dyDescent="0.3">
      <c r="A13" s="17">
        <v>12</v>
      </c>
      <c r="B13" s="18">
        <v>80809</v>
      </c>
      <c r="C13" s="18">
        <v>79</v>
      </c>
      <c r="D13" s="19" t="s">
        <v>53</v>
      </c>
      <c r="E13" s="19" t="s">
        <v>54</v>
      </c>
      <c r="F13" s="18">
        <v>4</v>
      </c>
      <c r="G13" s="19" t="s">
        <v>16</v>
      </c>
      <c r="H13" s="19">
        <v>46.31</v>
      </c>
      <c r="I13" s="19">
        <v>44</v>
      </c>
      <c r="J13" s="19" t="s">
        <v>828</v>
      </c>
      <c r="K13" s="20">
        <v>59.09</v>
      </c>
      <c r="N13">
        <f t="shared" si="0"/>
        <v>80809</v>
      </c>
      <c r="O13">
        <f>IF(AND(A13&gt;0,A13&lt;999),IFERROR(VLOOKUP(results0120[[#This Row],[Card]],U14M[],1,FALSE),0),0)</f>
        <v>80809</v>
      </c>
      <c r="P13">
        <f t="shared" si="1"/>
        <v>12</v>
      </c>
      <c r="Q13">
        <f t="shared" si="2"/>
        <v>26</v>
      </c>
      <c r="R13">
        <f t="shared" si="3"/>
        <v>10</v>
      </c>
    </row>
    <row r="14" spans="1:18" ht="14.45" x14ac:dyDescent="0.3">
      <c r="A14" s="13">
        <v>13</v>
      </c>
      <c r="B14" s="14">
        <v>85883</v>
      </c>
      <c r="C14" s="14">
        <v>19</v>
      </c>
      <c r="D14" s="15" t="s">
        <v>51</v>
      </c>
      <c r="E14" s="15" t="s">
        <v>15</v>
      </c>
      <c r="F14" s="14">
        <v>4</v>
      </c>
      <c r="G14" s="15" t="s">
        <v>16</v>
      </c>
      <c r="H14" s="15">
        <v>44.53</v>
      </c>
      <c r="I14" s="15">
        <v>46.24</v>
      </c>
      <c r="J14" s="15" t="s">
        <v>829</v>
      </c>
      <c r="K14" s="16">
        <v>63.06</v>
      </c>
      <c r="N14">
        <f t="shared" si="0"/>
        <v>85883</v>
      </c>
      <c r="O14">
        <f>IF(AND(A14&gt;0,A14&lt;999),IFERROR(VLOOKUP(results0120[[#This Row],[Card]],U14M[],1,FALSE),0),0)</f>
        <v>85883</v>
      </c>
      <c r="P14">
        <f t="shared" si="1"/>
        <v>13</v>
      </c>
      <c r="Q14">
        <f t="shared" si="2"/>
        <v>11</v>
      </c>
      <c r="R14">
        <f t="shared" si="3"/>
        <v>30</v>
      </c>
    </row>
    <row r="15" spans="1:18" ht="14.45" x14ac:dyDescent="0.3">
      <c r="A15" s="17">
        <v>14</v>
      </c>
      <c r="B15" s="18">
        <v>78164</v>
      </c>
      <c r="C15" s="18">
        <v>110</v>
      </c>
      <c r="D15" s="19" t="s">
        <v>129</v>
      </c>
      <c r="E15" s="19" t="s">
        <v>61</v>
      </c>
      <c r="F15" s="18">
        <v>5</v>
      </c>
      <c r="G15" s="19" t="s">
        <v>16</v>
      </c>
      <c r="H15" s="19">
        <v>46.03</v>
      </c>
      <c r="I15" s="19">
        <v>45.02</v>
      </c>
      <c r="J15" s="19" t="s">
        <v>830</v>
      </c>
      <c r="K15" s="20">
        <v>65.48</v>
      </c>
      <c r="N15">
        <f t="shared" si="0"/>
        <v>78164</v>
      </c>
      <c r="O15">
        <f>IF(AND(A15&gt;0,A15&lt;999),IFERROR(VLOOKUP(results0120[[#This Row],[Card]],U14M[],1,FALSE),0),0)</f>
        <v>78164</v>
      </c>
      <c r="P15">
        <f t="shared" si="1"/>
        <v>14</v>
      </c>
      <c r="Q15">
        <f t="shared" si="2"/>
        <v>24</v>
      </c>
      <c r="R15">
        <f t="shared" si="3"/>
        <v>18</v>
      </c>
    </row>
    <row r="16" spans="1:18" ht="14.45" x14ac:dyDescent="0.3">
      <c r="A16" s="13">
        <v>15</v>
      </c>
      <c r="B16" s="14">
        <v>80729</v>
      </c>
      <c r="C16" s="14">
        <v>53</v>
      </c>
      <c r="D16" s="15" t="s">
        <v>90</v>
      </c>
      <c r="E16" s="15" t="s">
        <v>22</v>
      </c>
      <c r="F16" s="14">
        <v>4</v>
      </c>
      <c r="G16" s="15" t="s">
        <v>16</v>
      </c>
      <c r="H16" s="15">
        <v>45.33</v>
      </c>
      <c r="I16" s="15">
        <v>45.83</v>
      </c>
      <c r="J16" s="15" t="s">
        <v>831</v>
      </c>
      <c r="K16" s="16">
        <v>66.430000000000007</v>
      </c>
      <c r="N16">
        <f t="shared" si="0"/>
        <v>80729</v>
      </c>
      <c r="O16">
        <f>IF(AND(A16&gt;0,A16&lt;999),IFERROR(VLOOKUP(results0120[[#This Row],[Card]],U14M[],1,FALSE),0),0)</f>
        <v>80729</v>
      </c>
      <c r="P16">
        <f t="shared" si="1"/>
        <v>15</v>
      </c>
      <c r="Q16">
        <f t="shared" si="2"/>
        <v>18</v>
      </c>
      <c r="R16">
        <f t="shared" si="3"/>
        <v>28</v>
      </c>
    </row>
    <row r="17" spans="1:18" ht="14.45" x14ac:dyDescent="0.3">
      <c r="A17" s="17">
        <v>16</v>
      </c>
      <c r="B17" s="18">
        <v>82328</v>
      </c>
      <c r="C17" s="18">
        <v>96</v>
      </c>
      <c r="D17" s="19" t="s">
        <v>137</v>
      </c>
      <c r="E17" s="19" t="s">
        <v>15</v>
      </c>
      <c r="F17" s="18">
        <v>4</v>
      </c>
      <c r="G17" s="19" t="s">
        <v>16</v>
      </c>
      <c r="H17" s="19">
        <v>45.92</v>
      </c>
      <c r="I17" s="19">
        <v>45.25</v>
      </c>
      <c r="J17" s="19" t="s">
        <v>832</v>
      </c>
      <c r="K17" s="20">
        <v>66.510000000000005</v>
      </c>
      <c r="N17">
        <f t="shared" si="0"/>
        <v>82328</v>
      </c>
      <c r="O17">
        <f>IF(AND(A17&gt;0,A17&lt;999),IFERROR(VLOOKUP(results0120[[#This Row],[Card]],U14M[],1,FALSE),0),0)</f>
        <v>82328</v>
      </c>
      <c r="P17">
        <f t="shared" si="1"/>
        <v>16</v>
      </c>
      <c r="Q17">
        <f t="shared" si="2"/>
        <v>23</v>
      </c>
      <c r="R17">
        <f t="shared" si="3"/>
        <v>19</v>
      </c>
    </row>
    <row r="18" spans="1:18" ht="14.45" x14ac:dyDescent="0.3">
      <c r="A18" s="13">
        <v>17</v>
      </c>
      <c r="B18" s="14">
        <v>80625</v>
      </c>
      <c r="C18" s="14">
        <v>72</v>
      </c>
      <c r="D18" s="15" t="s">
        <v>76</v>
      </c>
      <c r="E18" s="15" t="s">
        <v>19</v>
      </c>
      <c r="F18" s="14">
        <v>4</v>
      </c>
      <c r="G18" s="15" t="s">
        <v>16</v>
      </c>
      <c r="H18" s="15">
        <v>46.63</v>
      </c>
      <c r="I18" s="15">
        <v>45.37</v>
      </c>
      <c r="J18" s="15" t="s">
        <v>833</v>
      </c>
      <c r="K18" s="16">
        <v>73.67</v>
      </c>
      <c r="N18">
        <f t="shared" si="0"/>
        <v>80625</v>
      </c>
      <c r="O18">
        <f>IF(AND(A18&gt;0,A18&lt;999),IFERROR(VLOOKUP(results0120[[#This Row],[Card]],U14M[],1,FALSE),0),0)</f>
        <v>80625</v>
      </c>
      <c r="P18">
        <f t="shared" si="1"/>
        <v>17</v>
      </c>
      <c r="Q18">
        <f t="shared" si="2"/>
        <v>28</v>
      </c>
      <c r="R18">
        <f t="shared" si="3"/>
        <v>21</v>
      </c>
    </row>
    <row r="19" spans="1:18" ht="14.45" x14ac:dyDescent="0.3">
      <c r="A19" s="17">
        <v>18</v>
      </c>
      <c r="B19" s="18">
        <v>76653</v>
      </c>
      <c r="C19" s="18">
        <v>92</v>
      </c>
      <c r="D19" s="19" t="s">
        <v>37</v>
      </c>
      <c r="E19" s="19" t="s">
        <v>38</v>
      </c>
      <c r="F19" s="18">
        <v>4</v>
      </c>
      <c r="G19" s="19" t="s">
        <v>16</v>
      </c>
      <c r="H19" s="19">
        <v>46.28</v>
      </c>
      <c r="I19" s="19">
        <v>45.96</v>
      </c>
      <c r="J19" s="19" t="s">
        <v>834</v>
      </c>
      <c r="K19" s="20">
        <v>75.739999999999995</v>
      </c>
      <c r="N19">
        <f t="shared" si="0"/>
        <v>76653</v>
      </c>
      <c r="O19">
        <f>IF(AND(A19&gt;0,A19&lt;999),IFERROR(VLOOKUP(results0120[[#This Row],[Card]],U14M[],1,FALSE),0),0)</f>
        <v>76653</v>
      </c>
      <c r="P19">
        <f t="shared" si="1"/>
        <v>18</v>
      </c>
      <c r="Q19">
        <f t="shared" si="2"/>
        <v>25</v>
      </c>
      <c r="R19">
        <f t="shared" si="3"/>
        <v>29</v>
      </c>
    </row>
    <row r="20" spans="1:18" ht="14.45" x14ac:dyDescent="0.3">
      <c r="A20" s="13">
        <v>19</v>
      </c>
      <c r="B20" s="14">
        <v>81459</v>
      </c>
      <c r="C20" s="14">
        <v>94</v>
      </c>
      <c r="D20" s="15" t="s">
        <v>225</v>
      </c>
      <c r="E20" s="15" t="s">
        <v>101</v>
      </c>
      <c r="F20" s="14">
        <v>5</v>
      </c>
      <c r="G20" s="15" t="s">
        <v>16</v>
      </c>
      <c r="H20" s="15">
        <v>46.87</v>
      </c>
      <c r="I20" s="15">
        <v>45.64</v>
      </c>
      <c r="J20" s="15" t="s">
        <v>835</v>
      </c>
      <c r="K20" s="16">
        <v>78.069999999999993</v>
      </c>
      <c r="N20">
        <f t="shared" si="0"/>
        <v>81459</v>
      </c>
      <c r="O20">
        <f>IF(AND(A20&gt;0,A20&lt;999),IFERROR(VLOOKUP(results0120[[#This Row],[Card]],U14M[],1,FALSE),0),0)</f>
        <v>81459</v>
      </c>
      <c r="P20">
        <f t="shared" si="1"/>
        <v>19</v>
      </c>
      <c r="Q20">
        <f t="shared" si="2"/>
        <v>31</v>
      </c>
      <c r="R20">
        <f t="shared" si="3"/>
        <v>24</v>
      </c>
    </row>
    <row r="21" spans="1:18" ht="14.45" x14ac:dyDescent="0.3">
      <c r="A21" s="17">
        <v>20</v>
      </c>
      <c r="B21" s="18">
        <v>78276</v>
      </c>
      <c r="C21" s="18">
        <v>16</v>
      </c>
      <c r="D21" s="19" t="s">
        <v>92</v>
      </c>
      <c r="E21" s="19" t="s">
        <v>31</v>
      </c>
      <c r="F21" s="18">
        <v>4</v>
      </c>
      <c r="G21" s="19" t="s">
        <v>16</v>
      </c>
      <c r="H21" s="19">
        <v>45.2</v>
      </c>
      <c r="I21" s="19">
        <v>47.42</v>
      </c>
      <c r="J21" s="19" t="s">
        <v>836</v>
      </c>
      <c r="K21" s="20">
        <v>79.02</v>
      </c>
      <c r="N21">
        <f t="shared" si="0"/>
        <v>78276</v>
      </c>
      <c r="O21">
        <f>IF(AND(A21&gt;0,A21&lt;999),IFERROR(VLOOKUP(results0120[[#This Row],[Card]],U14M[],1,FALSE),0),0)</f>
        <v>78276</v>
      </c>
      <c r="P21">
        <f t="shared" si="1"/>
        <v>20</v>
      </c>
      <c r="Q21">
        <f t="shared" si="2"/>
        <v>17</v>
      </c>
      <c r="R21">
        <f t="shared" si="3"/>
        <v>39</v>
      </c>
    </row>
    <row r="22" spans="1:18" ht="14.45" x14ac:dyDescent="0.3">
      <c r="A22" s="13">
        <v>21</v>
      </c>
      <c r="B22" s="14">
        <v>85235</v>
      </c>
      <c r="C22" s="14">
        <v>15</v>
      </c>
      <c r="D22" s="15" t="s">
        <v>46</v>
      </c>
      <c r="E22" s="15" t="s">
        <v>47</v>
      </c>
      <c r="F22" s="14">
        <v>4</v>
      </c>
      <c r="G22" s="15" t="s">
        <v>16</v>
      </c>
      <c r="H22" s="15">
        <v>45.66</v>
      </c>
      <c r="I22" s="15">
        <v>47.05</v>
      </c>
      <c r="J22" s="15" t="s">
        <v>837</v>
      </c>
      <c r="K22" s="16">
        <v>79.8</v>
      </c>
      <c r="N22">
        <f t="shared" si="0"/>
        <v>85235</v>
      </c>
      <c r="O22">
        <f>IF(AND(A22&gt;0,A22&lt;999),IFERROR(VLOOKUP(results0120[[#This Row],[Card]],U14M[],1,FALSE),0),0)</f>
        <v>85235</v>
      </c>
      <c r="P22">
        <f t="shared" si="1"/>
        <v>21</v>
      </c>
      <c r="Q22">
        <f t="shared" si="2"/>
        <v>21</v>
      </c>
      <c r="R22">
        <f t="shared" si="3"/>
        <v>36</v>
      </c>
    </row>
    <row r="23" spans="1:18" ht="14.45" x14ac:dyDescent="0.3">
      <c r="A23" s="17">
        <v>22</v>
      </c>
      <c r="B23" s="18">
        <v>85853</v>
      </c>
      <c r="C23" s="18">
        <v>105</v>
      </c>
      <c r="D23" s="19" t="s">
        <v>82</v>
      </c>
      <c r="E23" s="19" t="s">
        <v>15</v>
      </c>
      <c r="F23" s="18">
        <v>5</v>
      </c>
      <c r="G23" s="19" t="s">
        <v>16</v>
      </c>
      <c r="H23" s="19">
        <v>46.93</v>
      </c>
      <c r="I23" s="19">
        <v>45.8</v>
      </c>
      <c r="J23" s="19" t="s">
        <v>838</v>
      </c>
      <c r="K23" s="20">
        <v>79.97</v>
      </c>
      <c r="N23">
        <f t="shared" si="0"/>
        <v>85853</v>
      </c>
      <c r="O23">
        <f>IF(AND(A23&gt;0,A23&lt;999),IFERROR(VLOOKUP(results0120[[#This Row],[Card]],U14M[],1,FALSE),0),0)</f>
        <v>85853</v>
      </c>
      <c r="P23">
        <f t="shared" si="1"/>
        <v>22</v>
      </c>
      <c r="Q23">
        <f t="shared" si="2"/>
        <v>32</v>
      </c>
      <c r="R23">
        <f t="shared" si="3"/>
        <v>26</v>
      </c>
    </row>
    <row r="24" spans="1:18" ht="14.45" x14ac:dyDescent="0.3">
      <c r="A24" s="13">
        <v>23</v>
      </c>
      <c r="B24" s="14">
        <v>80722</v>
      </c>
      <c r="C24" s="14">
        <v>80</v>
      </c>
      <c r="D24" s="15" t="s">
        <v>33</v>
      </c>
      <c r="E24" s="15" t="s">
        <v>22</v>
      </c>
      <c r="F24" s="14">
        <v>4</v>
      </c>
      <c r="G24" s="15" t="s">
        <v>16</v>
      </c>
      <c r="H24" s="15">
        <v>45.19</v>
      </c>
      <c r="I24" s="15">
        <v>47.57</v>
      </c>
      <c r="J24" s="15" t="s">
        <v>839</v>
      </c>
      <c r="K24" s="16">
        <v>80.23</v>
      </c>
      <c r="N24">
        <f t="shared" si="0"/>
        <v>80722</v>
      </c>
      <c r="O24">
        <f>IF(AND(A24&gt;0,A24&lt;999),IFERROR(VLOOKUP(results0120[[#This Row],[Card]],U14M[],1,FALSE),0),0)</f>
        <v>80722</v>
      </c>
      <c r="P24">
        <f t="shared" si="1"/>
        <v>23</v>
      </c>
      <c r="Q24">
        <f t="shared" si="2"/>
        <v>16</v>
      </c>
      <c r="R24">
        <f t="shared" si="3"/>
        <v>41</v>
      </c>
    </row>
    <row r="25" spans="1:18" ht="14.45" x14ac:dyDescent="0.3">
      <c r="A25" s="17">
        <v>24</v>
      </c>
      <c r="B25" s="18">
        <v>82186</v>
      </c>
      <c r="C25" s="18">
        <v>66</v>
      </c>
      <c r="D25" s="19" t="s">
        <v>114</v>
      </c>
      <c r="E25" s="19" t="s">
        <v>15</v>
      </c>
      <c r="F25" s="18">
        <v>4</v>
      </c>
      <c r="G25" s="19" t="s">
        <v>16</v>
      </c>
      <c r="H25" s="19">
        <v>46.63</v>
      </c>
      <c r="I25" s="19">
        <v>46.44</v>
      </c>
      <c r="J25" s="19" t="s">
        <v>840</v>
      </c>
      <c r="K25" s="20">
        <v>82.9</v>
      </c>
      <c r="N25">
        <f t="shared" si="0"/>
        <v>82186</v>
      </c>
      <c r="O25">
        <f>IF(AND(A25&gt;0,A25&lt;999),IFERROR(VLOOKUP(results0120[[#This Row],[Card]],U14M[],1,FALSE),0),0)</f>
        <v>82186</v>
      </c>
      <c r="P25">
        <f t="shared" si="1"/>
        <v>24</v>
      </c>
      <c r="Q25">
        <f t="shared" si="2"/>
        <v>28</v>
      </c>
      <c r="R25">
        <f t="shared" si="3"/>
        <v>31</v>
      </c>
    </row>
    <row r="26" spans="1:18" ht="14.45" x14ac:dyDescent="0.3">
      <c r="A26" s="13">
        <v>25</v>
      </c>
      <c r="B26" s="14">
        <v>80717</v>
      </c>
      <c r="C26" s="14">
        <v>52</v>
      </c>
      <c r="D26" s="15" t="s">
        <v>26</v>
      </c>
      <c r="E26" s="15" t="s">
        <v>22</v>
      </c>
      <c r="F26" s="14">
        <v>4</v>
      </c>
      <c r="G26" s="15" t="s">
        <v>16</v>
      </c>
      <c r="H26" s="15">
        <v>45.18</v>
      </c>
      <c r="I26" s="15">
        <v>48.02</v>
      </c>
      <c r="J26" s="15" t="s">
        <v>841</v>
      </c>
      <c r="K26" s="16">
        <v>84.03</v>
      </c>
      <c r="N26">
        <f t="shared" si="0"/>
        <v>80717</v>
      </c>
      <c r="O26">
        <f>IF(AND(A26&gt;0,A26&lt;999),IFERROR(VLOOKUP(results0120[[#This Row],[Card]],U14M[],1,FALSE),0),0)</f>
        <v>80717</v>
      </c>
      <c r="P26">
        <f t="shared" si="1"/>
        <v>25</v>
      </c>
      <c r="Q26">
        <f t="shared" si="2"/>
        <v>15</v>
      </c>
      <c r="R26">
        <f t="shared" si="3"/>
        <v>43</v>
      </c>
    </row>
    <row r="27" spans="1:18" ht="14.45" x14ac:dyDescent="0.3">
      <c r="A27" s="17">
        <v>26</v>
      </c>
      <c r="B27" s="18">
        <v>80690</v>
      </c>
      <c r="C27" s="18">
        <v>109</v>
      </c>
      <c r="D27" s="19" t="s">
        <v>148</v>
      </c>
      <c r="E27" s="19" t="s">
        <v>31</v>
      </c>
      <c r="F27" s="18">
        <v>5</v>
      </c>
      <c r="G27" s="19" t="s">
        <v>16</v>
      </c>
      <c r="H27" s="19">
        <v>46.98</v>
      </c>
      <c r="I27" s="19">
        <v>46.44</v>
      </c>
      <c r="J27" s="19" t="s">
        <v>842</v>
      </c>
      <c r="K27" s="20">
        <v>85.92</v>
      </c>
      <c r="N27">
        <f t="shared" si="0"/>
        <v>80690</v>
      </c>
      <c r="O27">
        <f>IF(AND(A27&gt;0,A27&lt;999),IFERROR(VLOOKUP(results0120[[#This Row],[Card]],U14M[],1,FALSE),0),0)</f>
        <v>80690</v>
      </c>
      <c r="P27">
        <f t="shared" si="1"/>
        <v>26</v>
      </c>
      <c r="Q27">
        <f t="shared" si="2"/>
        <v>34</v>
      </c>
      <c r="R27">
        <f t="shared" si="3"/>
        <v>31</v>
      </c>
    </row>
    <row r="28" spans="1:18" x14ac:dyDescent="0.25">
      <c r="A28" s="13">
        <v>27</v>
      </c>
      <c r="B28" s="14">
        <v>81110</v>
      </c>
      <c r="C28" s="14">
        <v>47</v>
      </c>
      <c r="D28" s="15" t="s">
        <v>86</v>
      </c>
      <c r="E28" s="15" t="s">
        <v>22</v>
      </c>
      <c r="F28" s="14">
        <v>5</v>
      </c>
      <c r="G28" s="15" t="s">
        <v>16</v>
      </c>
      <c r="H28" s="15">
        <v>45.14</v>
      </c>
      <c r="I28" s="15">
        <v>48.38</v>
      </c>
      <c r="J28" s="15" t="s">
        <v>843</v>
      </c>
      <c r="K28" s="16">
        <v>86.79</v>
      </c>
      <c r="N28">
        <f t="shared" si="0"/>
        <v>81110</v>
      </c>
      <c r="O28">
        <f>IF(AND(A28&gt;0,A28&lt;999),IFERROR(VLOOKUP(results0120[[#This Row],[Card]],U14M[],1,FALSE),0),0)</f>
        <v>81110</v>
      </c>
      <c r="P28">
        <f t="shared" si="1"/>
        <v>27</v>
      </c>
      <c r="Q28">
        <f t="shared" si="2"/>
        <v>13</v>
      </c>
      <c r="R28">
        <f t="shared" si="3"/>
        <v>46</v>
      </c>
    </row>
    <row r="29" spans="1:18" x14ac:dyDescent="0.25">
      <c r="A29" s="17">
        <v>28</v>
      </c>
      <c r="B29" s="18">
        <v>86143</v>
      </c>
      <c r="C29" s="18">
        <v>20</v>
      </c>
      <c r="D29" s="19" t="s">
        <v>125</v>
      </c>
      <c r="E29" s="19" t="s">
        <v>42</v>
      </c>
      <c r="F29" s="18">
        <v>4</v>
      </c>
      <c r="G29" s="19" t="s">
        <v>16</v>
      </c>
      <c r="H29" s="19">
        <v>46.71</v>
      </c>
      <c r="I29" s="19">
        <v>48.11</v>
      </c>
      <c r="J29" s="19" t="s">
        <v>844</v>
      </c>
      <c r="K29" s="20">
        <v>98</v>
      </c>
      <c r="N29">
        <f t="shared" si="0"/>
        <v>86143</v>
      </c>
      <c r="O29">
        <f>IF(AND(A29&gt;0,A29&lt;999),IFERROR(VLOOKUP(results0120[[#This Row],[Card]],U14M[],1,FALSE),0),0)</f>
        <v>86143</v>
      </c>
      <c r="P29">
        <f t="shared" si="1"/>
        <v>28</v>
      </c>
      <c r="Q29">
        <f t="shared" si="2"/>
        <v>30</v>
      </c>
      <c r="R29">
        <f t="shared" si="3"/>
        <v>44</v>
      </c>
    </row>
    <row r="30" spans="1:18" x14ac:dyDescent="0.25">
      <c r="A30" s="13">
        <v>29</v>
      </c>
      <c r="B30" s="14">
        <v>78181</v>
      </c>
      <c r="C30" s="14">
        <v>48</v>
      </c>
      <c r="D30" s="15" t="s">
        <v>138</v>
      </c>
      <c r="E30" s="15" t="s">
        <v>61</v>
      </c>
      <c r="F30" s="14">
        <v>4</v>
      </c>
      <c r="G30" s="15" t="s">
        <v>16</v>
      </c>
      <c r="H30" s="15">
        <v>47.64</v>
      </c>
      <c r="I30" s="15">
        <v>47.54</v>
      </c>
      <c r="J30" s="15" t="s">
        <v>845</v>
      </c>
      <c r="K30" s="16">
        <v>101.11</v>
      </c>
      <c r="N30">
        <f t="shared" si="0"/>
        <v>78181</v>
      </c>
      <c r="O30">
        <f>IF(AND(A30&gt;0,A30&lt;999),IFERROR(VLOOKUP(results0120[[#This Row],[Card]],U14M[],1,FALSE),0),0)</f>
        <v>78181</v>
      </c>
      <c r="P30">
        <f t="shared" si="1"/>
        <v>29</v>
      </c>
      <c r="Q30">
        <f t="shared" si="2"/>
        <v>37</v>
      </c>
      <c r="R30">
        <f t="shared" si="3"/>
        <v>40</v>
      </c>
    </row>
    <row r="31" spans="1:18" x14ac:dyDescent="0.25">
      <c r="A31" s="17">
        <v>29</v>
      </c>
      <c r="B31" s="18">
        <v>80700</v>
      </c>
      <c r="C31" s="18">
        <v>46</v>
      </c>
      <c r="D31" s="19" t="s">
        <v>192</v>
      </c>
      <c r="E31" s="19" t="s">
        <v>31</v>
      </c>
      <c r="F31" s="18">
        <v>4</v>
      </c>
      <c r="G31" s="19" t="s">
        <v>16</v>
      </c>
      <c r="H31" s="19">
        <v>47.92</v>
      </c>
      <c r="I31" s="19">
        <v>47.26</v>
      </c>
      <c r="J31" s="19" t="s">
        <v>845</v>
      </c>
      <c r="K31" s="20">
        <v>101.11</v>
      </c>
      <c r="N31">
        <f t="shared" si="0"/>
        <v>80700</v>
      </c>
      <c r="O31">
        <f>IF(AND(A31&gt;0,A31&lt;999),IFERROR(VLOOKUP(results0120[[#This Row],[Card]],U14M[],1,FALSE),0),0)</f>
        <v>80700</v>
      </c>
      <c r="P31">
        <f t="shared" si="1"/>
        <v>29</v>
      </c>
      <c r="Q31">
        <f t="shared" si="2"/>
        <v>39</v>
      </c>
      <c r="R31">
        <f t="shared" si="3"/>
        <v>37</v>
      </c>
    </row>
    <row r="32" spans="1:18" x14ac:dyDescent="0.25">
      <c r="A32" s="13">
        <v>31</v>
      </c>
      <c r="B32" s="14">
        <v>80669</v>
      </c>
      <c r="C32" s="14">
        <v>10</v>
      </c>
      <c r="D32" s="15" t="s">
        <v>70</v>
      </c>
      <c r="E32" s="15" t="s">
        <v>15</v>
      </c>
      <c r="F32" s="14">
        <v>4</v>
      </c>
      <c r="G32" s="15" t="s">
        <v>16</v>
      </c>
      <c r="H32" s="15">
        <v>49.71</v>
      </c>
      <c r="I32" s="15">
        <v>45.57</v>
      </c>
      <c r="J32" s="15" t="s">
        <v>846</v>
      </c>
      <c r="K32" s="16">
        <v>101.97</v>
      </c>
      <c r="N32">
        <f t="shared" si="0"/>
        <v>80669</v>
      </c>
      <c r="O32">
        <f>IF(AND(A32&gt;0,A32&lt;999),IFERROR(VLOOKUP(results0120[[#This Row],[Card]],U14M[],1,FALSE),0),0)</f>
        <v>80669</v>
      </c>
      <c r="P32">
        <f t="shared" si="1"/>
        <v>31</v>
      </c>
      <c r="Q32">
        <f t="shared" si="2"/>
        <v>48</v>
      </c>
      <c r="R32">
        <f t="shared" si="3"/>
        <v>23</v>
      </c>
    </row>
    <row r="33" spans="1:18" x14ac:dyDescent="0.25">
      <c r="A33" s="17">
        <v>32</v>
      </c>
      <c r="B33" s="18">
        <v>86113</v>
      </c>
      <c r="C33" s="18">
        <v>89</v>
      </c>
      <c r="D33" s="19" t="s">
        <v>142</v>
      </c>
      <c r="E33" s="19" t="s">
        <v>101</v>
      </c>
      <c r="F33" s="18">
        <v>5</v>
      </c>
      <c r="G33" s="19" t="s">
        <v>16</v>
      </c>
      <c r="H33" s="19">
        <v>48.71</v>
      </c>
      <c r="I33" s="19">
        <v>46.87</v>
      </c>
      <c r="J33" s="19" t="s">
        <v>847</v>
      </c>
      <c r="K33" s="20">
        <v>104.56</v>
      </c>
      <c r="N33">
        <f t="shared" si="0"/>
        <v>86113</v>
      </c>
      <c r="O33">
        <f>IF(AND(A33&gt;0,A33&lt;999),IFERROR(VLOOKUP(results0120[[#This Row],[Card]],U14M[],1,FALSE),0),0)</f>
        <v>86113</v>
      </c>
      <c r="P33">
        <f t="shared" si="1"/>
        <v>32</v>
      </c>
      <c r="Q33">
        <f t="shared" si="2"/>
        <v>42</v>
      </c>
      <c r="R33">
        <f t="shared" si="3"/>
        <v>33</v>
      </c>
    </row>
    <row r="34" spans="1:18" x14ac:dyDescent="0.25">
      <c r="A34" s="13">
        <v>33</v>
      </c>
      <c r="B34" s="14">
        <v>78619</v>
      </c>
      <c r="C34" s="14">
        <v>18</v>
      </c>
      <c r="D34" s="15" t="s">
        <v>121</v>
      </c>
      <c r="E34" s="15" t="s">
        <v>61</v>
      </c>
      <c r="F34" s="14">
        <v>4</v>
      </c>
      <c r="G34" s="15" t="s">
        <v>16</v>
      </c>
      <c r="H34" s="15">
        <v>47.78</v>
      </c>
      <c r="I34" s="15">
        <v>48.23</v>
      </c>
      <c r="J34" s="15" t="s">
        <v>272</v>
      </c>
      <c r="K34" s="16">
        <v>108.27</v>
      </c>
      <c r="N34">
        <f t="shared" ref="N34:N65" si="4">B34</f>
        <v>78619</v>
      </c>
      <c r="O34">
        <f>IF(AND(A34&gt;0,A34&lt;999),IFERROR(VLOOKUP(results0120[[#This Row],[Card]],U14M[],1,FALSE),0),0)</f>
        <v>78619</v>
      </c>
      <c r="P34">
        <f t="shared" ref="P34:P65" si="5">A34</f>
        <v>33</v>
      </c>
      <c r="Q34">
        <f t="shared" ref="Q34:Q65" si="6">IFERROR(_xlfn.RANK.EQ(H34,$H$2:$H$113,1),999)</f>
        <v>38</v>
      </c>
      <c r="R34">
        <f t="shared" ref="R34:R65" si="7">IFERROR(_xlfn.RANK.EQ(I34,$I$2:$I$113,1),999)</f>
        <v>45</v>
      </c>
    </row>
    <row r="35" spans="1:18" x14ac:dyDescent="0.25">
      <c r="A35" s="17">
        <v>34</v>
      </c>
      <c r="B35" s="18">
        <v>80724</v>
      </c>
      <c r="C35" s="18">
        <v>51</v>
      </c>
      <c r="D35" s="19" t="s">
        <v>167</v>
      </c>
      <c r="E35" s="19" t="s">
        <v>22</v>
      </c>
      <c r="F35" s="18">
        <v>4</v>
      </c>
      <c r="G35" s="19" t="s">
        <v>16</v>
      </c>
      <c r="H35" s="19">
        <v>48.19</v>
      </c>
      <c r="I35" s="19">
        <v>47.87</v>
      </c>
      <c r="J35" s="19" t="s">
        <v>848</v>
      </c>
      <c r="K35" s="20">
        <v>108.7</v>
      </c>
      <c r="N35">
        <f t="shared" si="4"/>
        <v>80724</v>
      </c>
      <c r="O35">
        <f>IF(AND(A35&gt;0,A35&lt;999),IFERROR(VLOOKUP(results0120[[#This Row],[Card]],U14M[],1,FALSE),0),0)</f>
        <v>80724</v>
      </c>
      <c r="P35">
        <f t="shared" si="5"/>
        <v>34</v>
      </c>
      <c r="Q35">
        <f t="shared" si="6"/>
        <v>40</v>
      </c>
      <c r="R35">
        <f t="shared" si="7"/>
        <v>42</v>
      </c>
    </row>
    <row r="36" spans="1:18" x14ac:dyDescent="0.25">
      <c r="A36" s="13">
        <v>35</v>
      </c>
      <c r="B36" s="14">
        <v>78178</v>
      </c>
      <c r="C36" s="14">
        <v>28</v>
      </c>
      <c r="D36" s="15" t="s">
        <v>194</v>
      </c>
      <c r="E36" s="15" t="s">
        <v>61</v>
      </c>
      <c r="F36" s="14">
        <v>4</v>
      </c>
      <c r="G36" s="15" t="s">
        <v>16</v>
      </c>
      <c r="H36" s="15">
        <v>49.13</v>
      </c>
      <c r="I36" s="15">
        <v>49.06</v>
      </c>
      <c r="J36" s="15" t="s">
        <v>849</v>
      </c>
      <c r="K36" s="16">
        <v>127.07</v>
      </c>
      <c r="N36">
        <f t="shared" si="4"/>
        <v>78178</v>
      </c>
      <c r="O36">
        <f>IF(AND(A36&gt;0,A36&lt;999),IFERROR(VLOOKUP(results0120[[#This Row],[Card]],U14M[],1,FALSE),0),0)</f>
        <v>78178</v>
      </c>
      <c r="P36">
        <f t="shared" si="5"/>
        <v>35</v>
      </c>
      <c r="Q36">
        <f t="shared" si="6"/>
        <v>45</v>
      </c>
      <c r="R36">
        <f t="shared" si="7"/>
        <v>49</v>
      </c>
    </row>
    <row r="37" spans="1:18" x14ac:dyDescent="0.25">
      <c r="A37" s="17">
        <v>36</v>
      </c>
      <c r="B37" s="18">
        <v>81455</v>
      </c>
      <c r="C37" s="18">
        <v>33</v>
      </c>
      <c r="D37" s="19" t="s">
        <v>171</v>
      </c>
      <c r="E37" s="19" t="s">
        <v>19</v>
      </c>
      <c r="F37" s="18">
        <v>5</v>
      </c>
      <c r="G37" s="19" t="s">
        <v>16</v>
      </c>
      <c r="H37" s="19">
        <v>49.26</v>
      </c>
      <c r="I37" s="19">
        <v>49.04</v>
      </c>
      <c r="J37" s="19" t="s">
        <v>850</v>
      </c>
      <c r="K37" s="20">
        <v>128.02000000000001</v>
      </c>
      <c r="N37">
        <f t="shared" si="4"/>
        <v>81455</v>
      </c>
      <c r="O37">
        <f>IF(AND(A37&gt;0,A37&lt;999),IFERROR(VLOOKUP(results0120[[#This Row],[Card]],U14M[],1,FALSE),0),0)</f>
        <v>81455</v>
      </c>
      <c r="P37">
        <f t="shared" si="5"/>
        <v>36</v>
      </c>
      <c r="Q37">
        <f t="shared" si="6"/>
        <v>46</v>
      </c>
      <c r="R37">
        <f t="shared" si="7"/>
        <v>48</v>
      </c>
    </row>
    <row r="38" spans="1:18" x14ac:dyDescent="0.25">
      <c r="A38" s="13">
        <v>37</v>
      </c>
      <c r="B38" s="14">
        <v>80630</v>
      </c>
      <c r="C38" s="14">
        <v>38</v>
      </c>
      <c r="D38" s="15" t="s">
        <v>188</v>
      </c>
      <c r="E38" s="15" t="s">
        <v>19</v>
      </c>
      <c r="F38" s="14">
        <v>4</v>
      </c>
      <c r="G38" s="15" t="s">
        <v>16</v>
      </c>
      <c r="H38" s="15">
        <v>48.74</v>
      </c>
      <c r="I38" s="15">
        <v>49.61</v>
      </c>
      <c r="J38" s="15" t="s">
        <v>851</v>
      </c>
      <c r="K38" s="16">
        <v>128.44999999999999</v>
      </c>
      <c r="N38">
        <f t="shared" si="4"/>
        <v>80630</v>
      </c>
      <c r="O38">
        <f>IF(AND(A38&gt;0,A38&lt;999),IFERROR(VLOOKUP(results0120[[#This Row],[Card]],U14M[],1,FALSE),0),0)</f>
        <v>80630</v>
      </c>
      <c r="P38">
        <f t="shared" si="5"/>
        <v>37</v>
      </c>
      <c r="Q38">
        <f t="shared" si="6"/>
        <v>43</v>
      </c>
      <c r="R38">
        <f t="shared" si="7"/>
        <v>51</v>
      </c>
    </row>
    <row r="39" spans="1:18" x14ac:dyDescent="0.25">
      <c r="A39" s="17">
        <v>38</v>
      </c>
      <c r="B39" s="18">
        <v>80683</v>
      </c>
      <c r="C39" s="18">
        <v>108</v>
      </c>
      <c r="D39" s="19" t="s">
        <v>67</v>
      </c>
      <c r="E39" s="19" t="s">
        <v>15</v>
      </c>
      <c r="F39" s="18">
        <v>4</v>
      </c>
      <c r="G39" s="19" t="s">
        <v>16</v>
      </c>
      <c r="H39" s="19">
        <v>45.74</v>
      </c>
      <c r="I39" s="19">
        <v>52.73</v>
      </c>
      <c r="J39" s="19" t="s">
        <v>852</v>
      </c>
      <c r="K39" s="20">
        <v>129.49</v>
      </c>
      <c r="N39">
        <f t="shared" si="4"/>
        <v>80683</v>
      </c>
      <c r="O39">
        <f>IF(AND(A39&gt;0,A39&lt;999),IFERROR(VLOOKUP(results0120[[#This Row],[Card]],U14M[],1,FALSE),0),0)</f>
        <v>80683</v>
      </c>
      <c r="P39">
        <f t="shared" si="5"/>
        <v>38</v>
      </c>
      <c r="Q39">
        <f t="shared" si="6"/>
        <v>22</v>
      </c>
      <c r="R39">
        <f t="shared" si="7"/>
        <v>65</v>
      </c>
    </row>
    <row r="40" spans="1:18" x14ac:dyDescent="0.25">
      <c r="A40" s="13">
        <v>39</v>
      </c>
      <c r="B40" s="14">
        <v>78680</v>
      </c>
      <c r="C40" s="14">
        <v>78</v>
      </c>
      <c r="D40" s="15" t="s">
        <v>127</v>
      </c>
      <c r="E40" s="15" t="s">
        <v>22</v>
      </c>
      <c r="F40" s="14">
        <v>5</v>
      </c>
      <c r="G40" s="15" t="s">
        <v>16</v>
      </c>
      <c r="H40" s="15">
        <v>53.3</v>
      </c>
      <c r="I40" s="15">
        <v>45.34</v>
      </c>
      <c r="J40" s="15" t="s">
        <v>853</v>
      </c>
      <c r="K40" s="16">
        <v>130.96</v>
      </c>
      <c r="N40">
        <f t="shared" si="4"/>
        <v>78680</v>
      </c>
      <c r="O40">
        <f>IF(AND(A40&gt;0,A40&lt;999),IFERROR(VLOOKUP(results0120[[#This Row],[Card]],U14M[],1,FALSE),0),0)</f>
        <v>78680</v>
      </c>
      <c r="P40">
        <f t="shared" si="5"/>
        <v>39</v>
      </c>
      <c r="Q40">
        <f t="shared" si="6"/>
        <v>60</v>
      </c>
      <c r="R40">
        <f t="shared" si="7"/>
        <v>20</v>
      </c>
    </row>
    <row r="41" spans="1:18" x14ac:dyDescent="0.25">
      <c r="A41" s="17">
        <v>40</v>
      </c>
      <c r="B41" s="18">
        <v>80610</v>
      </c>
      <c r="C41" s="18">
        <v>13</v>
      </c>
      <c r="D41" s="19" t="s">
        <v>219</v>
      </c>
      <c r="E41" s="19" t="s">
        <v>15</v>
      </c>
      <c r="F41" s="18">
        <v>5</v>
      </c>
      <c r="G41" s="19" t="s">
        <v>16</v>
      </c>
      <c r="H41" s="19">
        <v>54.24</v>
      </c>
      <c r="I41" s="19">
        <v>44.96</v>
      </c>
      <c r="J41" s="19" t="s">
        <v>854</v>
      </c>
      <c r="K41" s="20">
        <v>135.79</v>
      </c>
      <c r="N41">
        <f t="shared" si="4"/>
        <v>80610</v>
      </c>
      <c r="O41">
        <f>IF(AND(A41&gt;0,A41&lt;999),IFERROR(VLOOKUP(results0120[[#This Row],[Card]],U14M[],1,FALSE),0),0)</f>
        <v>80610</v>
      </c>
      <c r="P41">
        <f t="shared" si="5"/>
        <v>40</v>
      </c>
      <c r="Q41">
        <f t="shared" si="6"/>
        <v>66</v>
      </c>
      <c r="R41">
        <f t="shared" si="7"/>
        <v>17</v>
      </c>
    </row>
    <row r="42" spans="1:18" x14ac:dyDescent="0.25">
      <c r="A42" s="13">
        <v>41</v>
      </c>
      <c r="B42" s="14">
        <v>85454</v>
      </c>
      <c r="C42" s="14">
        <v>64</v>
      </c>
      <c r="D42" s="15" t="s">
        <v>218</v>
      </c>
      <c r="E42" s="15" t="s">
        <v>54</v>
      </c>
      <c r="F42" s="14">
        <v>5</v>
      </c>
      <c r="G42" s="15" t="s">
        <v>16</v>
      </c>
      <c r="H42" s="15">
        <v>49.3</v>
      </c>
      <c r="I42" s="15">
        <v>50.1</v>
      </c>
      <c r="J42" s="15" t="s">
        <v>855</v>
      </c>
      <c r="K42" s="16">
        <v>137.51</v>
      </c>
      <c r="N42">
        <f t="shared" si="4"/>
        <v>85454</v>
      </c>
      <c r="O42">
        <f>IF(AND(A42&gt;0,A42&lt;999),IFERROR(VLOOKUP(results0120[[#This Row],[Card]],U14M[],1,FALSE),0),0)</f>
        <v>85454</v>
      </c>
      <c r="P42">
        <f t="shared" si="5"/>
        <v>41</v>
      </c>
      <c r="Q42">
        <f t="shared" si="6"/>
        <v>47</v>
      </c>
      <c r="R42">
        <f t="shared" si="7"/>
        <v>55</v>
      </c>
    </row>
    <row r="43" spans="1:18" x14ac:dyDescent="0.25">
      <c r="A43" s="17">
        <v>42</v>
      </c>
      <c r="B43" s="18">
        <v>76510</v>
      </c>
      <c r="C43" s="18">
        <v>35</v>
      </c>
      <c r="D43" s="19" t="s">
        <v>186</v>
      </c>
      <c r="E43" s="19" t="s">
        <v>38</v>
      </c>
      <c r="F43" s="18">
        <v>4</v>
      </c>
      <c r="G43" s="19" t="s">
        <v>16</v>
      </c>
      <c r="H43" s="19">
        <v>50.02</v>
      </c>
      <c r="I43" s="19">
        <v>49.89</v>
      </c>
      <c r="J43" s="19" t="s">
        <v>856</v>
      </c>
      <c r="K43" s="20">
        <v>141.91</v>
      </c>
      <c r="N43">
        <f t="shared" si="4"/>
        <v>76510</v>
      </c>
      <c r="O43">
        <f>IF(AND(A43&gt;0,A43&lt;999),IFERROR(VLOOKUP(results0120[[#This Row],[Card]],U14M[],1,FALSE),0),0)</f>
        <v>76510</v>
      </c>
      <c r="P43">
        <f t="shared" si="5"/>
        <v>42</v>
      </c>
      <c r="Q43">
        <f t="shared" si="6"/>
        <v>49</v>
      </c>
      <c r="R43">
        <f t="shared" si="7"/>
        <v>53</v>
      </c>
    </row>
    <row r="44" spans="1:18" x14ac:dyDescent="0.25">
      <c r="A44" s="13">
        <v>43</v>
      </c>
      <c r="B44" s="14">
        <v>79148</v>
      </c>
      <c r="C44" s="14">
        <v>98</v>
      </c>
      <c r="D44" s="15" t="s">
        <v>191</v>
      </c>
      <c r="E44" s="15" t="s">
        <v>31</v>
      </c>
      <c r="F44" s="14">
        <v>4</v>
      </c>
      <c r="G44" s="15" t="s">
        <v>16</v>
      </c>
      <c r="H44" s="15">
        <v>51.23</v>
      </c>
      <c r="I44" s="15">
        <v>48.97</v>
      </c>
      <c r="J44" s="15" t="s">
        <v>857</v>
      </c>
      <c r="K44" s="16">
        <v>144.41</v>
      </c>
      <c r="N44">
        <f t="shared" si="4"/>
        <v>79148</v>
      </c>
      <c r="O44">
        <f>IF(AND(A44&gt;0,A44&lt;999),IFERROR(VLOOKUP(results0120[[#This Row],[Card]],U14M[],1,FALSE),0),0)</f>
        <v>79148</v>
      </c>
      <c r="P44">
        <f t="shared" si="5"/>
        <v>43</v>
      </c>
      <c r="Q44">
        <f t="shared" si="6"/>
        <v>53</v>
      </c>
      <c r="R44">
        <f t="shared" si="7"/>
        <v>47</v>
      </c>
    </row>
    <row r="45" spans="1:18" x14ac:dyDescent="0.25">
      <c r="A45" s="17">
        <v>44</v>
      </c>
      <c r="B45" s="18">
        <v>84752</v>
      </c>
      <c r="C45" s="18">
        <v>1</v>
      </c>
      <c r="D45" s="19" t="s">
        <v>140</v>
      </c>
      <c r="E45" s="19" t="s">
        <v>15</v>
      </c>
      <c r="F45" s="18">
        <v>5</v>
      </c>
      <c r="G45" s="19" t="s">
        <v>16</v>
      </c>
      <c r="H45" s="19">
        <v>49</v>
      </c>
      <c r="I45" s="19">
        <v>51.37</v>
      </c>
      <c r="J45" s="19" t="s">
        <v>858</v>
      </c>
      <c r="K45" s="20">
        <v>145.88</v>
      </c>
      <c r="N45">
        <f t="shared" si="4"/>
        <v>84752</v>
      </c>
      <c r="O45">
        <f>IF(AND(A45&gt;0,A45&lt;999),IFERROR(VLOOKUP(results0120[[#This Row],[Card]],U14M[],1,FALSE),0),0)</f>
        <v>84752</v>
      </c>
      <c r="P45">
        <f t="shared" si="5"/>
        <v>44</v>
      </c>
      <c r="Q45">
        <f t="shared" si="6"/>
        <v>44</v>
      </c>
      <c r="R45">
        <f t="shared" si="7"/>
        <v>59</v>
      </c>
    </row>
    <row r="46" spans="1:18" x14ac:dyDescent="0.25">
      <c r="A46" s="13">
        <v>45</v>
      </c>
      <c r="B46" s="14">
        <v>81491</v>
      </c>
      <c r="C46" s="14">
        <v>87</v>
      </c>
      <c r="D46" s="15" t="s">
        <v>105</v>
      </c>
      <c r="E46" s="15" t="s">
        <v>22</v>
      </c>
      <c r="F46" s="14">
        <v>5</v>
      </c>
      <c r="G46" s="15" t="s">
        <v>16</v>
      </c>
      <c r="H46" s="15">
        <v>55.54</v>
      </c>
      <c r="I46" s="15">
        <v>45.8</v>
      </c>
      <c r="J46" s="15" t="s">
        <v>859</v>
      </c>
      <c r="K46" s="16">
        <v>154.25</v>
      </c>
      <c r="N46">
        <f t="shared" si="4"/>
        <v>81491</v>
      </c>
      <c r="O46">
        <f>IF(AND(A46&gt;0,A46&lt;999),IFERROR(VLOOKUP(results0120[[#This Row],[Card]],U14M[],1,FALSE),0),0)</f>
        <v>81491</v>
      </c>
      <c r="P46">
        <f t="shared" si="5"/>
        <v>45</v>
      </c>
      <c r="Q46">
        <f t="shared" si="6"/>
        <v>68</v>
      </c>
      <c r="R46">
        <f t="shared" si="7"/>
        <v>26</v>
      </c>
    </row>
    <row r="47" spans="1:18" x14ac:dyDescent="0.25">
      <c r="A47" s="17">
        <v>46</v>
      </c>
      <c r="B47" s="18">
        <v>89505</v>
      </c>
      <c r="C47" s="18">
        <v>42</v>
      </c>
      <c r="D47" s="19" t="s">
        <v>387</v>
      </c>
      <c r="E47" s="19" t="s">
        <v>388</v>
      </c>
      <c r="F47" s="18">
        <v>5</v>
      </c>
      <c r="G47" s="19" t="s">
        <v>16</v>
      </c>
      <c r="H47" s="19">
        <v>50.93</v>
      </c>
      <c r="I47" s="19">
        <v>50.83</v>
      </c>
      <c r="J47" s="19" t="s">
        <v>860</v>
      </c>
      <c r="K47" s="20">
        <v>157.87</v>
      </c>
      <c r="N47">
        <f t="shared" si="4"/>
        <v>89505</v>
      </c>
      <c r="O47">
        <f>IF(AND(A47&gt;0,A47&lt;999),IFERROR(VLOOKUP(results0120[[#This Row],[Card]],U14M[],1,FALSE),0),0)</f>
        <v>89505</v>
      </c>
      <c r="P47">
        <f t="shared" si="5"/>
        <v>46</v>
      </c>
      <c r="Q47">
        <f t="shared" si="6"/>
        <v>52</v>
      </c>
      <c r="R47">
        <f t="shared" si="7"/>
        <v>58</v>
      </c>
    </row>
    <row r="48" spans="1:18" x14ac:dyDescent="0.25">
      <c r="A48" s="13">
        <v>47</v>
      </c>
      <c r="B48" s="14">
        <v>80629</v>
      </c>
      <c r="C48" s="14">
        <v>21</v>
      </c>
      <c r="D48" s="15" t="s">
        <v>144</v>
      </c>
      <c r="E48" s="15" t="s">
        <v>19</v>
      </c>
      <c r="F48" s="14">
        <v>5</v>
      </c>
      <c r="G48" s="15" t="s">
        <v>16</v>
      </c>
      <c r="H48" s="15">
        <v>47.59</v>
      </c>
      <c r="I48" s="15">
        <v>54.55</v>
      </c>
      <c r="J48" s="15" t="s">
        <v>807</v>
      </c>
      <c r="K48" s="16">
        <v>161.15</v>
      </c>
      <c r="N48">
        <f t="shared" si="4"/>
        <v>80629</v>
      </c>
      <c r="O48">
        <f>IF(AND(A48&gt;0,A48&lt;999),IFERROR(VLOOKUP(results0120[[#This Row],[Card]],U14M[],1,FALSE),0),0)</f>
        <v>80629</v>
      </c>
      <c r="P48">
        <f t="shared" si="5"/>
        <v>47</v>
      </c>
      <c r="Q48">
        <f t="shared" si="6"/>
        <v>35</v>
      </c>
      <c r="R48">
        <f t="shared" si="7"/>
        <v>73</v>
      </c>
    </row>
    <row r="49" spans="1:18" x14ac:dyDescent="0.25">
      <c r="A49" s="17">
        <v>48</v>
      </c>
      <c r="B49" s="18">
        <v>80720</v>
      </c>
      <c r="C49" s="18">
        <v>99</v>
      </c>
      <c r="D49" s="19" t="s">
        <v>98</v>
      </c>
      <c r="E49" s="19" t="s">
        <v>22</v>
      </c>
      <c r="F49" s="18">
        <v>5</v>
      </c>
      <c r="G49" s="19" t="s">
        <v>16</v>
      </c>
      <c r="H49" s="19">
        <v>46.32</v>
      </c>
      <c r="I49" s="19">
        <v>56.36</v>
      </c>
      <c r="J49" s="19" t="s">
        <v>861</v>
      </c>
      <c r="K49" s="20">
        <v>165.81</v>
      </c>
      <c r="N49">
        <f t="shared" si="4"/>
        <v>80720</v>
      </c>
      <c r="O49">
        <f>IF(AND(A49&gt;0,A49&lt;999),IFERROR(VLOOKUP(results0120[[#This Row],[Card]],U14M[],1,FALSE),0),0)</f>
        <v>80720</v>
      </c>
      <c r="P49">
        <f t="shared" si="5"/>
        <v>48</v>
      </c>
      <c r="Q49">
        <f t="shared" si="6"/>
        <v>27</v>
      </c>
      <c r="R49">
        <f t="shared" si="7"/>
        <v>75</v>
      </c>
    </row>
    <row r="50" spans="1:18" x14ac:dyDescent="0.25">
      <c r="A50" s="13">
        <v>49</v>
      </c>
      <c r="B50" s="14">
        <v>87999</v>
      </c>
      <c r="C50" s="14">
        <v>22</v>
      </c>
      <c r="D50" s="15" t="s">
        <v>179</v>
      </c>
      <c r="E50" s="15" t="s">
        <v>19</v>
      </c>
      <c r="F50" s="14">
        <v>5</v>
      </c>
      <c r="G50" s="15" t="s">
        <v>16</v>
      </c>
      <c r="H50" s="15">
        <v>50.34</v>
      </c>
      <c r="I50" s="15">
        <v>52.65</v>
      </c>
      <c r="J50" s="15" t="s">
        <v>862</v>
      </c>
      <c r="K50" s="16">
        <v>168.48</v>
      </c>
      <c r="N50">
        <f t="shared" si="4"/>
        <v>87999</v>
      </c>
      <c r="O50">
        <f>IF(AND(A50&gt;0,A50&lt;999),IFERROR(VLOOKUP(results0120[[#This Row],[Card]],U14M[],1,FALSE),0),0)</f>
        <v>87999</v>
      </c>
      <c r="P50">
        <f t="shared" si="5"/>
        <v>49</v>
      </c>
      <c r="Q50">
        <f t="shared" si="6"/>
        <v>51</v>
      </c>
      <c r="R50">
        <f t="shared" si="7"/>
        <v>64</v>
      </c>
    </row>
    <row r="51" spans="1:18" x14ac:dyDescent="0.25">
      <c r="A51" s="17">
        <v>50</v>
      </c>
      <c r="B51" s="18">
        <v>81505</v>
      </c>
      <c r="C51" s="18">
        <v>8</v>
      </c>
      <c r="D51" s="19" t="s">
        <v>315</v>
      </c>
      <c r="E51" s="19" t="s">
        <v>22</v>
      </c>
      <c r="F51" s="18">
        <v>5</v>
      </c>
      <c r="G51" s="19" t="s">
        <v>16</v>
      </c>
      <c r="H51" s="19">
        <v>50.09</v>
      </c>
      <c r="I51" s="19">
        <v>53.09</v>
      </c>
      <c r="J51" s="19" t="s">
        <v>863</v>
      </c>
      <c r="K51" s="20">
        <v>170.12</v>
      </c>
      <c r="N51">
        <f t="shared" si="4"/>
        <v>81505</v>
      </c>
      <c r="O51">
        <f>IF(AND(A51&gt;0,A51&lt;999),IFERROR(VLOOKUP(results0120[[#This Row],[Card]],U14M[],1,FALSE),0),0)</f>
        <v>81505</v>
      </c>
      <c r="P51">
        <f t="shared" si="5"/>
        <v>50</v>
      </c>
      <c r="Q51">
        <f t="shared" si="6"/>
        <v>50</v>
      </c>
      <c r="R51">
        <f t="shared" si="7"/>
        <v>68</v>
      </c>
    </row>
    <row r="52" spans="1:18" x14ac:dyDescent="0.25">
      <c r="A52" s="13">
        <v>51</v>
      </c>
      <c r="B52" s="14">
        <v>77422</v>
      </c>
      <c r="C52" s="14">
        <v>73</v>
      </c>
      <c r="D52" s="15" t="s">
        <v>84</v>
      </c>
      <c r="E52" s="15" t="s">
        <v>54</v>
      </c>
      <c r="F52" s="14">
        <v>4</v>
      </c>
      <c r="G52" s="15" t="s">
        <v>16</v>
      </c>
      <c r="H52" s="15">
        <v>58.23</v>
      </c>
      <c r="I52" s="15">
        <v>45.52</v>
      </c>
      <c r="J52" s="15" t="s">
        <v>864</v>
      </c>
      <c r="K52" s="16">
        <v>175.04</v>
      </c>
      <c r="N52">
        <f t="shared" si="4"/>
        <v>77422</v>
      </c>
      <c r="O52">
        <f>IF(AND(A52&gt;0,A52&lt;999),IFERROR(VLOOKUP(results0120[[#This Row],[Card]],U14M[],1,FALSE),0),0)</f>
        <v>77422</v>
      </c>
      <c r="P52">
        <f t="shared" si="5"/>
        <v>51</v>
      </c>
      <c r="Q52">
        <f t="shared" si="6"/>
        <v>71</v>
      </c>
      <c r="R52">
        <f t="shared" si="7"/>
        <v>22</v>
      </c>
    </row>
    <row r="53" spans="1:18" x14ac:dyDescent="0.25">
      <c r="A53" s="17">
        <v>52</v>
      </c>
      <c r="B53" s="18">
        <v>85546</v>
      </c>
      <c r="C53" s="18">
        <v>54</v>
      </c>
      <c r="D53" s="19" t="s">
        <v>221</v>
      </c>
      <c r="E53" s="19" t="s">
        <v>117</v>
      </c>
      <c r="F53" s="18">
        <v>4</v>
      </c>
      <c r="G53" s="19" t="s">
        <v>16</v>
      </c>
      <c r="H53" s="19">
        <v>51.96</v>
      </c>
      <c r="I53" s="19">
        <v>52.48</v>
      </c>
      <c r="J53" s="19" t="s">
        <v>865</v>
      </c>
      <c r="K53" s="20">
        <v>180.99</v>
      </c>
      <c r="N53">
        <f t="shared" si="4"/>
        <v>85546</v>
      </c>
      <c r="O53">
        <f>IF(AND(A53&gt;0,A53&lt;999),IFERROR(VLOOKUP(results0120[[#This Row],[Card]],U14M[],1,FALSE),0),0)</f>
        <v>85546</v>
      </c>
      <c r="P53">
        <f t="shared" si="5"/>
        <v>52</v>
      </c>
      <c r="Q53">
        <f t="shared" si="6"/>
        <v>55</v>
      </c>
      <c r="R53">
        <f t="shared" si="7"/>
        <v>63</v>
      </c>
    </row>
    <row r="54" spans="1:18" x14ac:dyDescent="0.25">
      <c r="A54" s="13">
        <v>53</v>
      </c>
      <c r="B54" s="14">
        <v>82442</v>
      </c>
      <c r="C54" s="14">
        <v>25</v>
      </c>
      <c r="D54" s="15" t="s">
        <v>204</v>
      </c>
      <c r="E54" s="15" t="s">
        <v>42</v>
      </c>
      <c r="F54" s="14">
        <v>5</v>
      </c>
      <c r="G54" s="15" t="s">
        <v>16</v>
      </c>
      <c r="H54" s="15">
        <v>51.64</v>
      </c>
      <c r="I54" s="15">
        <v>52.9</v>
      </c>
      <c r="J54" s="15" t="s">
        <v>866</v>
      </c>
      <c r="K54" s="16">
        <v>181.85</v>
      </c>
      <c r="N54">
        <f t="shared" si="4"/>
        <v>82442</v>
      </c>
      <c r="O54">
        <f>IF(AND(A54&gt;0,A54&lt;999),IFERROR(VLOOKUP(results0120[[#This Row],[Card]],U14M[],1,FALSE),0),0)</f>
        <v>82442</v>
      </c>
      <c r="P54">
        <f t="shared" si="5"/>
        <v>53</v>
      </c>
      <c r="Q54">
        <f t="shared" si="6"/>
        <v>54</v>
      </c>
      <c r="R54">
        <f t="shared" si="7"/>
        <v>67</v>
      </c>
    </row>
    <row r="55" spans="1:18" x14ac:dyDescent="0.25">
      <c r="A55" s="17">
        <v>54</v>
      </c>
      <c r="B55" s="18">
        <v>80718</v>
      </c>
      <c r="C55" s="18">
        <v>34</v>
      </c>
      <c r="D55" s="19" t="s">
        <v>94</v>
      </c>
      <c r="E55" s="19" t="s">
        <v>22</v>
      </c>
      <c r="F55" s="18">
        <v>4</v>
      </c>
      <c r="G55" s="19" t="s">
        <v>16</v>
      </c>
      <c r="H55" s="19">
        <v>46.94</v>
      </c>
      <c r="I55" s="19">
        <v>58.04</v>
      </c>
      <c r="J55" s="19" t="s">
        <v>867</v>
      </c>
      <c r="K55" s="20">
        <v>185.65</v>
      </c>
      <c r="N55">
        <f t="shared" si="4"/>
        <v>80718</v>
      </c>
      <c r="O55">
        <f>IF(AND(A55&gt;0,A55&lt;999),IFERROR(VLOOKUP(results0120[[#This Row],[Card]],U14M[],1,FALSE),0),0)</f>
        <v>80718</v>
      </c>
      <c r="P55">
        <f t="shared" si="5"/>
        <v>54</v>
      </c>
      <c r="Q55">
        <f t="shared" si="6"/>
        <v>33</v>
      </c>
      <c r="R55">
        <f t="shared" si="7"/>
        <v>76</v>
      </c>
    </row>
    <row r="56" spans="1:18" x14ac:dyDescent="0.25">
      <c r="A56" s="13">
        <v>55</v>
      </c>
      <c r="B56" s="14">
        <v>80692</v>
      </c>
      <c r="C56" s="14">
        <v>95</v>
      </c>
      <c r="D56" s="15" t="s">
        <v>317</v>
      </c>
      <c r="E56" s="15" t="s">
        <v>31</v>
      </c>
      <c r="F56" s="14">
        <v>5</v>
      </c>
      <c r="G56" s="15" t="s">
        <v>16</v>
      </c>
      <c r="H56" s="15">
        <v>53.97</v>
      </c>
      <c r="I56" s="15">
        <v>52.14</v>
      </c>
      <c r="J56" s="15" t="s">
        <v>868</v>
      </c>
      <c r="K56" s="16">
        <v>195.4</v>
      </c>
      <c r="N56">
        <f t="shared" si="4"/>
        <v>80692</v>
      </c>
      <c r="O56">
        <f>IF(AND(A56&gt;0,A56&lt;999),IFERROR(VLOOKUP(results0120[[#This Row],[Card]],U14M[],1,FALSE),0),0)</f>
        <v>80692</v>
      </c>
      <c r="P56">
        <f t="shared" si="5"/>
        <v>55</v>
      </c>
      <c r="Q56">
        <f t="shared" si="6"/>
        <v>64</v>
      </c>
      <c r="R56">
        <f t="shared" si="7"/>
        <v>62</v>
      </c>
    </row>
    <row r="57" spans="1:18" x14ac:dyDescent="0.25">
      <c r="A57" s="17">
        <v>56</v>
      </c>
      <c r="B57" s="18">
        <v>78783</v>
      </c>
      <c r="C57" s="18">
        <v>58</v>
      </c>
      <c r="D57" s="19" t="s">
        <v>198</v>
      </c>
      <c r="E57" s="19" t="s">
        <v>47</v>
      </c>
      <c r="F57" s="18">
        <v>5</v>
      </c>
      <c r="G57" s="19" t="s">
        <v>16</v>
      </c>
      <c r="H57" s="19">
        <v>53.97</v>
      </c>
      <c r="I57" s="19">
        <v>52.79</v>
      </c>
      <c r="J57" s="19" t="s">
        <v>869</v>
      </c>
      <c r="K57" s="20">
        <v>201.01</v>
      </c>
      <c r="N57">
        <f t="shared" si="4"/>
        <v>78783</v>
      </c>
      <c r="O57">
        <f>IF(AND(A57&gt;0,A57&lt;999),IFERROR(VLOOKUP(results0120[[#This Row],[Card]],U14M[],1,FALSE),0),0)</f>
        <v>78783</v>
      </c>
      <c r="P57">
        <f t="shared" si="5"/>
        <v>56</v>
      </c>
      <c r="Q57">
        <f t="shared" si="6"/>
        <v>64</v>
      </c>
      <c r="R57">
        <f t="shared" si="7"/>
        <v>66</v>
      </c>
    </row>
    <row r="58" spans="1:18" x14ac:dyDescent="0.25">
      <c r="A58" s="13">
        <v>57</v>
      </c>
      <c r="B58" s="14">
        <v>88381</v>
      </c>
      <c r="C58" s="14">
        <v>100</v>
      </c>
      <c r="D58" s="15" t="s">
        <v>181</v>
      </c>
      <c r="E58" s="15" t="s">
        <v>47</v>
      </c>
      <c r="F58" s="14">
        <v>5</v>
      </c>
      <c r="G58" s="15" t="s">
        <v>16</v>
      </c>
      <c r="H58" s="15">
        <v>57.06</v>
      </c>
      <c r="I58" s="15">
        <v>50.06</v>
      </c>
      <c r="J58" s="15" t="s">
        <v>870</v>
      </c>
      <c r="K58" s="16">
        <v>204.11</v>
      </c>
      <c r="N58">
        <f t="shared" si="4"/>
        <v>88381</v>
      </c>
      <c r="O58">
        <f>IF(AND(A58&gt;0,A58&lt;999),IFERROR(VLOOKUP(results0120[[#This Row],[Card]],U14M[],1,FALSE),0),0)</f>
        <v>88381</v>
      </c>
      <c r="P58">
        <f t="shared" si="5"/>
        <v>57</v>
      </c>
      <c r="Q58">
        <f t="shared" si="6"/>
        <v>70</v>
      </c>
      <c r="R58">
        <f t="shared" si="7"/>
        <v>54</v>
      </c>
    </row>
    <row r="59" spans="1:18" x14ac:dyDescent="0.25">
      <c r="A59" s="17">
        <v>58</v>
      </c>
      <c r="B59" s="18">
        <v>81801</v>
      </c>
      <c r="C59" s="18">
        <v>14</v>
      </c>
      <c r="D59" s="19" t="s">
        <v>208</v>
      </c>
      <c r="E59" s="19" t="s">
        <v>61</v>
      </c>
      <c r="F59" s="18">
        <v>5</v>
      </c>
      <c r="G59" s="19" t="s">
        <v>16</v>
      </c>
      <c r="H59" s="19">
        <v>53.29</v>
      </c>
      <c r="I59" s="19">
        <v>54.97</v>
      </c>
      <c r="J59" s="19" t="s">
        <v>871</v>
      </c>
      <c r="K59" s="20">
        <v>213.95</v>
      </c>
      <c r="N59">
        <f t="shared" si="4"/>
        <v>81801</v>
      </c>
      <c r="O59">
        <f>IF(AND(A59&gt;0,A59&lt;999),IFERROR(VLOOKUP(results0120[[#This Row],[Card]],U14M[],1,FALSE),0),0)</f>
        <v>81801</v>
      </c>
      <c r="P59">
        <f t="shared" si="5"/>
        <v>58</v>
      </c>
      <c r="Q59">
        <f t="shared" si="6"/>
        <v>59</v>
      </c>
      <c r="R59">
        <f t="shared" si="7"/>
        <v>74</v>
      </c>
    </row>
    <row r="60" spans="1:18" x14ac:dyDescent="0.25">
      <c r="A60" s="13">
        <v>59</v>
      </c>
      <c r="B60" s="14">
        <v>80807</v>
      </c>
      <c r="C60" s="14">
        <v>88</v>
      </c>
      <c r="D60" s="15" t="s">
        <v>298</v>
      </c>
      <c r="E60" s="15" t="s">
        <v>54</v>
      </c>
      <c r="F60" s="14">
        <v>5</v>
      </c>
      <c r="G60" s="15" t="s">
        <v>16</v>
      </c>
      <c r="H60" s="15">
        <v>55.2</v>
      </c>
      <c r="I60" s="15">
        <v>53.17</v>
      </c>
      <c r="J60" s="15" t="s">
        <v>872</v>
      </c>
      <c r="K60" s="16">
        <v>214.9</v>
      </c>
      <c r="N60">
        <f t="shared" si="4"/>
        <v>80807</v>
      </c>
      <c r="O60">
        <f>IF(AND(A60&gt;0,A60&lt;999),IFERROR(VLOOKUP(results0120[[#This Row],[Card]],U14M[],1,FALSE),0),0)</f>
        <v>80807</v>
      </c>
      <c r="P60">
        <f t="shared" si="5"/>
        <v>59</v>
      </c>
      <c r="Q60">
        <f t="shared" si="6"/>
        <v>67</v>
      </c>
      <c r="R60">
        <f t="shared" si="7"/>
        <v>71</v>
      </c>
    </row>
    <row r="61" spans="1:18" x14ac:dyDescent="0.25">
      <c r="A61" s="17">
        <v>60</v>
      </c>
      <c r="B61" s="18">
        <v>78414</v>
      </c>
      <c r="C61" s="18">
        <v>32</v>
      </c>
      <c r="D61" s="19" t="s">
        <v>202</v>
      </c>
      <c r="E61" s="19" t="s">
        <v>155</v>
      </c>
      <c r="F61" s="18">
        <v>4</v>
      </c>
      <c r="G61" s="19" t="s">
        <v>16</v>
      </c>
      <c r="H61" s="19">
        <v>52.8</v>
      </c>
      <c r="I61" s="19">
        <v>59.09</v>
      </c>
      <c r="J61" s="19" t="s">
        <v>873</v>
      </c>
      <c r="K61" s="20">
        <v>245.26</v>
      </c>
      <c r="N61">
        <f t="shared" si="4"/>
        <v>78414</v>
      </c>
      <c r="O61">
        <f>IF(AND(A61&gt;0,A61&lt;999),IFERROR(VLOOKUP(results0120[[#This Row],[Card]],U14M[],1,FALSE),0),0)</f>
        <v>78414</v>
      </c>
      <c r="P61">
        <f t="shared" si="5"/>
        <v>60</v>
      </c>
      <c r="Q61">
        <f t="shared" si="6"/>
        <v>57</v>
      </c>
      <c r="R61">
        <f t="shared" si="7"/>
        <v>77</v>
      </c>
    </row>
    <row r="62" spans="1:18" x14ac:dyDescent="0.25">
      <c r="A62" s="13">
        <v>61</v>
      </c>
      <c r="B62" s="14">
        <v>81880</v>
      </c>
      <c r="C62" s="14">
        <v>102</v>
      </c>
      <c r="D62" s="15" t="s">
        <v>212</v>
      </c>
      <c r="E62" s="15" t="s">
        <v>61</v>
      </c>
      <c r="F62" s="14">
        <v>5</v>
      </c>
      <c r="G62" s="15" t="s">
        <v>16</v>
      </c>
      <c r="H62" s="15">
        <v>59.85</v>
      </c>
      <c r="I62" s="15" t="s">
        <v>874</v>
      </c>
      <c r="J62" s="15" t="s">
        <v>875</v>
      </c>
      <c r="K62" s="16">
        <v>317.81</v>
      </c>
      <c r="N62">
        <f t="shared" si="4"/>
        <v>81880</v>
      </c>
      <c r="O62">
        <f>IF(AND(A62&gt;0,A62&lt;999),IFERROR(VLOOKUP(results0120[[#This Row],[Card]],U14M[],1,FALSE),0),0)</f>
        <v>81880</v>
      </c>
      <c r="P62">
        <f t="shared" si="5"/>
        <v>61</v>
      </c>
      <c r="Q62">
        <f t="shared" si="6"/>
        <v>72</v>
      </c>
      <c r="R62">
        <f t="shared" si="7"/>
        <v>999</v>
      </c>
    </row>
    <row r="63" spans="1:18" x14ac:dyDescent="0.25">
      <c r="A63" s="17">
        <v>999</v>
      </c>
      <c r="B63" s="18">
        <v>81879</v>
      </c>
      <c r="C63" s="18">
        <v>26</v>
      </c>
      <c r="D63" s="19" t="s">
        <v>146</v>
      </c>
      <c r="E63" s="19" t="s">
        <v>22</v>
      </c>
      <c r="F63" s="18">
        <v>5</v>
      </c>
      <c r="G63" s="19" t="s">
        <v>16</v>
      </c>
      <c r="H63" s="19" t="s">
        <v>215</v>
      </c>
      <c r="I63" s="19" t="s">
        <v>215</v>
      </c>
      <c r="J63" s="19"/>
      <c r="K63" s="20">
        <v>0</v>
      </c>
      <c r="N63">
        <f t="shared" si="4"/>
        <v>81879</v>
      </c>
      <c r="O63">
        <f>IF(AND(A63&gt;0,A63&lt;999),IFERROR(VLOOKUP(results0120[[#This Row],[Card]],U14M[],1,FALSE),0),0)</f>
        <v>0</v>
      </c>
      <c r="P63">
        <f t="shared" si="5"/>
        <v>999</v>
      </c>
      <c r="Q63">
        <f t="shared" si="6"/>
        <v>999</v>
      </c>
      <c r="R63">
        <f t="shared" si="7"/>
        <v>999</v>
      </c>
    </row>
    <row r="64" spans="1:18" x14ac:dyDescent="0.25">
      <c r="A64" s="13">
        <v>999</v>
      </c>
      <c r="B64" s="14">
        <v>80828</v>
      </c>
      <c r="C64" s="14">
        <v>30</v>
      </c>
      <c r="D64" s="15" t="s">
        <v>88</v>
      </c>
      <c r="E64" s="15" t="s">
        <v>54</v>
      </c>
      <c r="F64" s="14">
        <v>5</v>
      </c>
      <c r="G64" s="15" t="s">
        <v>16</v>
      </c>
      <c r="H64" s="15" t="s">
        <v>215</v>
      </c>
      <c r="I64" s="15" t="s">
        <v>215</v>
      </c>
      <c r="J64" s="15"/>
      <c r="K64" s="16">
        <v>0</v>
      </c>
      <c r="N64">
        <f t="shared" si="4"/>
        <v>80828</v>
      </c>
      <c r="O64">
        <f>IF(AND(A64&gt;0,A64&lt;999),IFERROR(VLOOKUP(results0120[[#This Row],[Card]],U14M[],1,FALSE),0),0)</f>
        <v>0</v>
      </c>
      <c r="P64">
        <f t="shared" si="5"/>
        <v>999</v>
      </c>
      <c r="Q64">
        <f t="shared" si="6"/>
        <v>999</v>
      </c>
      <c r="R64">
        <f t="shared" si="7"/>
        <v>999</v>
      </c>
    </row>
    <row r="65" spans="1:18" x14ac:dyDescent="0.25">
      <c r="A65" s="17">
        <v>999</v>
      </c>
      <c r="B65" s="18">
        <v>80628</v>
      </c>
      <c r="C65" s="18">
        <v>41</v>
      </c>
      <c r="D65" s="19" t="s">
        <v>58</v>
      </c>
      <c r="E65" s="19" t="s">
        <v>19</v>
      </c>
      <c r="F65" s="18">
        <v>4</v>
      </c>
      <c r="G65" s="19" t="s">
        <v>16</v>
      </c>
      <c r="H65" s="19" t="s">
        <v>215</v>
      </c>
      <c r="I65" s="19" t="s">
        <v>215</v>
      </c>
      <c r="J65" s="19"/>
      <c r="K65" s="20">
        <v>0</v>
      </c>
      <c r="N65">
        <f t="shared" si="4"/>
        <v>80628</v>
      </c>
      <c r="O65">
        <f>IF(AND(A65&gt;0,A65&lt;999),IFERROR(VLOOKUP(results0120[[#This Row],[Card]],U14M[],1,FALSE),0),0)</f>
        <v>0</v>
      </c>
      <c r="P65">
        <f t="shared" si="5"/>
        <v>999</v>
      </c>
      <c r="Q65">
        <f t="shared" si="6"/>
        <v>999</v>
      </c>
      <c r="R65">
        <f t="shared" si="7"/>
        <v>999</v>
      </c>
    </row>
    <row r="66" spans="1:18" x14ac:dyDescent="0.25">
      <c r="A66" s="13">
        <v>999</v>
      </c>
      <c r="B66" s="14">
        <v>81108</v>
      </c>
      <c r="C66" s="14">
        <v>45</v>
      </c>
      <c r="D66" s="15" t="s">
        <v>44</v>
      </c>
      <c r="E66" s="15" t="s">
        <v>22</v>
      </c>
      <c r="F66" s="14">
        <v>5</v>
      </c>
      <c r="G66" s="15" t="s">
        <v>16</v>
      </c>
      <c r="H66" s="15" t="s">
        <v>215</v>
      </c>
      <c r="I66" s="15" t="s">
        <v>215</v>
      </c>
      <c r="J66" s="15"/>
      <c r="K66" s="16">
        <v>0</v>
      </c>
      <c r="N66">
        <f t="shared" ref="N66:N97" si="8">B66</f>
        <v>81108</v>
      </c>
      <c r="O66">
        <f>IF(AND(A66&gt;0,A66&lt;999),IFERROR(VLOOKUP(results0120[[#This Row],[Card]],U14M[],1,FALSE),0),0)</f>
        <v>0</v>
      </c>
      <c r="P66">
        <f t="shared" ref="P66:P97" si="9">A66</f>
        <v>999</v>
      </c>
      <c r="Q66">
        <f t="shared" ref="Q66:Q97" si="10">IFERROR(_xlfn.RANK.EQ(H66,$H$2:$H$113,1),999)</f>
        <v>999</v>
      </c>
      <c r="R66">
        <f t="shared" ref="R66:R97" si="11">IFERROR(_xlfn.RANK.EQ(I66,$I$2:$I$113,1),999)</f>
        <v>999</v>
      </c>
    </row>
    <row r="67" spans="1:18" x14ac:dyDescent="0.25">
      <c r="A67" s="17">
        <v>999</v>
      </c>
      <c r="B67" s="18">
        <v>80835</v>
      </c>
      <c r="C67" s="18">
        <v>61</v>
      </c>
      <c r="D67" s="19" t="s">
        <v>302</v>
      </c>
      <c r="E67" s="19" t="s">
        <v>54</v>
      </c>
      <c r="F67" s="18">
        <v>5</v>
      </c>
      <c r="G67" s="19" t="s">
        <v>16</v>
      </c>
      <c r="H67" s="19" t="s">
        <v>215</v>
      </c>
      <c r="I67" s="19" t="s">
        <v>215</v>
      </c>
      <c r="J67" s="19"/>
      <c r="K67" s="20">
        <v>0</v>
      </c>
      <c r="N67">
        <f t="shared" si="8"/>
        <v>80835</v>
      </c>
      <c r="O67">
        <f>IF(AND(A67&gt;0,A67&lt;999),IFERROR(VLOOKUP(results0120[[#This Row],[Card]],U14M[],1,FALSE),0),0)</f>
        <v>0</v>
      </c>
      <c r="P67">
        <f t="shared" si="9"/>
        <v>999</v>
      </c>
      <c r="Q67">
        <f t="shared" si="10"/>
        <v>999</v>
      </c>
      <c r="R67">
        <f t="shared" si="11"/>
        <v>999</v>
      </c>
    </row>
    <row r="68" spans="1:18" x14ac:dyDescent="0.25">
      <c r="A68" s="13">
        <v>999</v>
      </c>
      <c r="B68" s="14">
        <v>81740</v>
      </c>
      <c r="C68" s="14">
        <v>63</v>
      </c>
      <c r="D68" s="15" t="s">
        <v>160</v>
      </c>
      <c r="E68" s="15" t="s">
        <v>31</v>
      </c>
      <c r="F68" s="14">
        <v>4</v>
      </c>
      <c r="G68" s="15" t="s">
        <v>16</v>
      </c>
      <c r="H68" s="15" t="s">
        <v>215</v>
      </c>
      <c r="I68" s="15" t="s">
        <v>215</v>
      </c>
      <c r="J68" s="15"/>
      <c r="K68" s="16">
        <v>0</v>
      </c>
      <c r="N68">
        <f t="shared" si="8"/>
        <v>81740</v>
      </c>
      <c r="O68">
        <f>IF(AND(A68&gt;0,A68&lt;999),IFERROR(VLOOKUP(results0120[[#This Row],[Card]],U14M[],1,FALSE),0),0)</f>
        <v>0</v>
      </c>
      <c r="P68">
        <f t="shared" si="9"/>
        <v>999</v>
      </c>
      <c r="Q68">
        <f t="shared" si="10"/>
        <v>999</v>
      </c>
      <c r="R68">
        <f t="shared" si="11"/>
        <v>999</v>
      </c>
    </row>
    <row r="69" spans="1:18" x14ac:dyDescent="0.25">
      <c r="A69" s="17">
        <v>999</v>
      </c>
      <c r="B69" s="18">
        <v>85950</v>
      </c>
      <c r="C69" s="18">
        <v>69</v>
      </c>
      <c r="D69" s="19" t="s">
        <v>206</v>
      </c>
      <c r="E69" s="19" t="s">
        <v>31</v>
      </c>
      <c r="F69" s="18">
        <v>4</v>
      </c>
      <c r="G69" s="19" t="s">
        <v>16</v>
      </c>
      <c r="H69" s="19" t="s">
        <v>215</v>
      </c>
      <c r="I69" s="19" t="s">
        <v>215</v>
      </c>
      <c r="J69" s="19"/>
      <c r="K69" s="20">
        <v>0</v>
      </c>
      <c r="N69">
        <f t="shared" si="8"/>
        <v>85950</v>
      </c>
      <c r="O69">
        <f>IF(AND(A69&gt;0,A69&lt;999),IFERROR(VLOOKUP(results0120[[#This Row],[Card]],U14M[],1,FALSE),0),0)</f>
        <v>0</v>
      </c>
      <c r="P69">
        <f t="shared" si="9"/>
        <v>999</v>
      </c>
      <c r="Q69">
        <f t="shared" si="10"/>
        <v>999</v>
      </c>
      <c r="R69">
        <f t="shared" si="11"/>
        <v>999</v>
      </c>
    </row>
    <row r="70" spans="1:18" x14ac:dyDescent="0.25">
      <c r="A70" s="13">
        <v>999</v>
      </c>
      <c r="B70" s="14">
        <v>82403</v>
      </c>
      <c r="C70" s="14">
        <v>74</v>
      </c>
      <c r="D70" s="15" t="s">
        <v>175</v>
      </c>
      <c r="E70" s="15" t="s">
        <v>19</v>
      </c>
      <c r="F70" s="14">
        <v>5</v>
      </c>
      <c r="G70" s="15" t="s">
        <v>16</v>
      </c>
      <c r="H70" s="15" t="s">
        <v>215</v>
      </c>
      <c r="I70" s="15" t="s">
        <v>215</v>
      </c>
      <c r="J70" s="15"/>
      <c r="K70" s="16">
        <v>0</v>
      </c>
      <c r="N70">
        <f t="shared" si="8"/>
        <v>82403</v>
      </c>
      <c r="O70">
        <f>IF(AND(A70&gt;0,A70&lt;999),IFERROR(VLOOKUP(results0120[[#This Row],[Card]],U14M[],1,FALSE),0),0)</f>
        <v>0</v>
      </c>
      <c r="P70">
        <f t="shared" si="9"/>
        <v>999</v>
      </c>
      <c r="Q70">
        <f t="shared" si="10"/>
        <v>999</v>
      </c>
      <c r="R70">
        <f t="shared" si="11"/>
        <v>999</v>
      </c>
    </row>
    <row r="71" spans="1:18" x14ac:dyDescent="0.25">
      <c r="A71" s="17">
        <v>999</v>
      </c>
      <c r="B71" s="18">
        <v>86207</v>
      </c>
      <c r="C71" s="18">
        <v>106</v>
      </c>
      <c r="D71" s="19" t="s">
        <v>294</v>
      </c>
      <c r="E71" s="19" t="s">
        <v>54</v>
      </c>
      <c r="F71" s="18">
        <v>5</v>
      </c>
      <c r="G71" s="19" t="s">
        <v>16</v>
      </c>
      <c r="H71" s="19" t="s">
        <v>215</v>
      </c>
      <c r="I71" s="19" t="s">
        <v>215</v>
      </c>
      <c r="J71" s="19"/>
      <c r="K71" s="20">
        <v>0</v>
      </c>
      <c r="N71">
        <f t="shared" si="8"/>
        <v>86207</v>
      </c>
      <c r="O71">
        <f>IF(AND(A71&gt;0,A71&lt;999),IFERROR(VLOOKUP(results0120[[#This Row],[Card]],U14M[],1,FALSE),0),0)</f>
        <v>0</v>
      </c>
      <c r="P71">
        <f t="shared" si="9"/>
        <v>999</v>
      </c>
      <c r="Q71">
        <f t="shared" si="10"/>
        <v>999</v>
      </c>
      <c r="R71">
        <f t="shared" si="11"/>
        <v>999</v>
      </c>
    </row>
    <row r="72" spans="1:18" x14ac:dyDescent="0.25">
      <c r="A72" s="13">
        <v>999</v>
      </c>
      <c r="B72" s="14">
        <v>81322</v>
      </c>
      <c r="C72" s="14">
        <v>112</v>
      </c>
      <c r="D72" s="15" t="s">
        <v>72</v>
      </c>
      <c r="E72" s="15" t="s">
        <v>22</v>
      </c>
      <c r="F72" s="14">
        <v>4</v>
      </c>
      <c r="G72" s="15" t="s">
        <v>16</v>
      </c>
      <c r="H72" s="15" t="s">
        <v>215</v>
      </c>
      <c r="I72" s="15" t="s">
        <v>215</v>
      </c>
      <c r="J72" s="15"/>
      <c r="K72" s="16">
        <v>0</v>
      </c>
      <c r="N72">
        <f t="shared" si="8"/>
        <v>81322</v>
      </c>
      <c r="O72">
        <f>IF(AND(A72&gt;0,A72&lt;999),IFERROR(VLOOKUP(results0120[[#This Row],[Card]],U14M[],1,FALSE),0),0)</f>
        <v>0</v>
      </c>
      <c r="P72">
        <f t="shared" si="9"/>
        <v>999</v>
      </c>
      <c r="Q72">
        <f t="shared" si="10"/>
        <v>999</v>
      </c>
      <c r="R72">
        <f t="shared" si="11"/>
        <v>999</v>
      </c>
    </row>
    <row r="73" spans="1:18" x14ac:dyDescent="0.25">
      <c r="A73" s="17">
        <v>999</v>
      </c>
      <c r="B73" s="18">
        <v>82431</v>
      </c>
      <c r="C73" s="18">
        <v>2</v>
      </c>
      <c r="D73" s="19" t="s">
        <v>41</v>
      </c>
      <c r="E73" s="19" t="s">
        <v>42</v>
      </c>
      <c r="F73" s="18">
        <v>4</v>
      </c>
      <c r="G73" s="19" t="s">
        <v>16</v>
      </c>
      <c r="H73" s="19" t="s">
        <v>220</v>
      </c>
      <c r="I73" s="19" t="s">
        <v>215</v>
      </c>
      <c r="J73" s="19"/>
      <c r="K73" s="20">
        <v>0</v>
      </c>
      <c r="N73">
        <f t="shared" si="8"/>
        <v>82431</v>
      </c>
      <c r="O73">
        <f>IF(AND(A73&gt;0,A73&lt;999),IFERROR(VLOOKUP(results0120[[#This Row],[Card]],U14M[],1,FALSE),0),0)</f>
        <v>0</v>
      </c>
      <c r="P73">
        <f t="shared" si="9"/>
        <v>999</v>
      </c>
      <c r="Q73">
        <f t="shared" si="10"/>
        <v>999</v>
      </c>
      <c r="R73">
        <f t="shared" si="11"/>
        <v>999</v>
      </c>
    </row>
    <row r="74" spans="1:18" x14ac:dyDescent="0.25">
      <c r="A74" s="13">
        <v>999</v>
      </c>
      <c r="B74" s="14">
        <v>85448</v>
      </c>
      <c r="C74" s="14">
        <v>3</v>
      </c>
      <c r="D74" s="15" t="s">
        <v>224</v>
      </c>
      <c r="E74" s="15" t="s">
        <v>101</v>
      </c>
      <c r="F74" s="14">
        <v>4</v>
      </c>
      <c r="G74" s="15" t="s">
        <v>16</v>
      </c>
      <c r="H74" s="15" t="s">
        <v>220</v>
      </c>
      <c r="I74" s="15">
        <v>50.3</v>
      </c>
      <c r="J74" s="15"/>
      <c r="K74" s="16">
        <v>0</v>
      </c>
      <c r="N74">
        <f t="shared" si="8"/>
        <v>85448</v>
      </c>
      <c r="O74">
        <f>IF(AND(A74&gt;0,A74&lt;999),IFERROR(VLOOKUP(results0120[[#This Row],[Card]],U14M[],1,FALSE),0),0)</f>
        <v>0</v>
      </c>
      <c r="P74">
        <f t="shared" si="9"/>
        <v>999</v>
      </c>
      <c r="Q74">
        <f t="shared" si="10"/>
        <v>999</v>
      </c>
      <c r="R74">
        <f t="shared" si="11"/>
        <v>56</v>
      </c>
    </row>
    <row r="75" spans="1:18" x14ac:dyDescent="0.25">
      <c r="A75" s="17">
        <v>999</v>
      </c>
      <c r="B75" s="18">
        <v>81781</v>
      </c>
      <c r="C75" s="18">
        <v>4</v>
      </c>
      <c r="D75" s="19" t="s">
        <v>200</v>
      </c>
      <c r="E75" s="19" t="s">
        <v>38</v>
      </c>
      <c r="F75" s="18">
        <v>5</v>
      </c>
      <c r="G75" s="19" t="s">
        <v>16</v>
      </c>
      <c r="H75" s="19" t="s">
        <v>220</v>
      </c>
      <c r="I75" s="19">
        <v>53.2</v>
      </c>
      <c r="J75" s="19"/>
      <c r="K75" s="20">
        <v>0</v>
      </c>
      <c r="N75">
        <f t="shared" si="8"/>
        <v>81781</v>
      </c>
      <c r="O75">
        <f>IF(AND(A75&gt;0,A75&lt;999),IFERROR(VLOOKUP(results0120[[#This Row],[Card]],U14M[],1,FALSE),0),0)</f>
        <v>0</v>
      </c>
      <c r="P75">
        <f t="shared" si="9"/>
        <v>999</v>
      </c>
      <c r="Q75">
        <f t="shared" si="10"/>
        <v>999</v>
      </c>
      <c r="R75">
        <f t="shared" si="11"/>
        <v>72</v>
      </c>
    </row>
    <row r="76" spans="1:18" x14ac:dyDescent="0.25">
      <c r="A76" s="13">
        <v>999</v>
      </c>
      <c r="B76" s="14">
        <v>77214</v>
      </c>
      <c r="C76" s="14">
        <v>9</v>
      </c>
      <c r="D76" s="15" t="s">
        <v>154</v>
      </c>
      <c r="E76" s="15" t="s">
        <v>155</v>
      </c>
      <c r="F76" s="14">
        <v>5</v>
      </c>
      <c r="G76" s="15" t="s">
        <v>16</v>
      </c>
      <c r="H76" s="15" t="s">
        <v>220</v>
      </c>
      <c r="I76" s="15" t="s">
        <v>215</v>
      </c>
      <c r="J76" s="15"/>
      <c r="K76" s="16">
        <v>0</v>
      </c>
      <c r="N76">
        <f t="shared" si="8"/>
        <v>77214</v>
      </c>
      <c r="O76">
        <f>IF(AND(A76&gt;0,A76&lt;999),IFERROR(VLOOKUP(results0120[[#This Row],[Card]],U14M[],1,FALSE),0),0)</f>
        <v>0</v>
      </c>
      <c r="P76">
        <f t="shared" si="9"/>
        <v>999</v>
      </c>
      <c r="Q76">
        <f t="shared" si="10"/>
        <v>999</v>
      </c>
      <c r="R76">
        <f t="shared" si="11"/>
        <v>999</v>
      </c>
    </row>
    <row r="77" spans="1:18" x14ac:dyDescent="0.25">
      <c r="A77" s="17">
        <v>999</v>
      </c>
      <c r="B77" s="18">
        <v>81139</v>
      </c>
      <c r="C77" s="18">
        <v>11</v>
      </c>
      <c r="D77" s="19" t="s">
        <v>177</v>
      </c>
      <c r="E77" s="19" t="s">
        <v>22</v>
      </c>
      <c r="F77" s="18">
        <v>4</v>
      </c>
      <c r="G77" s="19" t="s">
        <v>16</v>
      </c>
      <c r="H77" s="19" t="s">
        <v>220</v>
      </c>
      <c r="I77" s="19">
        <v>51.4</v>
      </c>
      <c r="J77" s="19"/>
      <c r="K77" s="20">
        <v>0</v>
      </c>
      <c r="N77">
        <f t="shared" si="8"/>
        <v>81139</v>
      </c>
      <c r="O77">
        <f>IF(AND(A77&gt;0,A77&lt;999),IFERROR(VLOOKUP(results0120[[#This Row],[Card]],U14M[],1,FALSE),0),0)</f>
        <v>0</v>
      </c>
      <c r="P77">
        <f t="shared" si="9"/>
        <v>999</v>
      </c>
      <c r="Q77">
        <f t="shared" si="10"/>
        <v>999</v>
      </c>
      <c r="R77">
        <f t="shared" si="11"/>
        <v>60</v>
      </c>
    </row>
    <row r="78" spans="1:18" x14ac:dyDescent="0.25">
      <c r="A78" s="13">
        <v>999</v>
      </c>
      <c r="B78" s="14">
        <v>80830</v>
      </c>
      <c r="C78" s="14">
        <v>23</v>
      </c>
      <c r="D78" s="15" t="s">
        <v>217</v>
      </c>
      <c r="E78" s="15" t="s">
        <v>54</v>
      </c>
      <c r="F78" s="14">
        <v>5</v>
      </c>
      <c r="G78" s="15" t="s">
        <v>16</v>
      </c>
      <c r="H78" s="15" t="s">
        <v>220</v>
      </c>
      <c r="I78" s="15" t="s">
        <v>215</v>
      </c>
      <c r="J78" s="15"/>
      <c r="K78" s="16">
        <v>0</v>
      </c>
      <c r="N78">
        <f t="shared" si="8"/>
        <v>80830</v>
      </c>
      <c r="O78">
        <f>IF(AND(A78&gt;0,A78&lt;999),IFERROR(VLOOKUP(results0120[[#This Row],[Card]],U14M[],1,FALSE),0),0)</f>
        <v>0</v>
      </c>
      <c r="P78">
        <f t="shared" si="9"/>
        <v>999</v>
      </c>
      <c r="Q78">
        <f t="shared" si="10"/>
        <v>999</v>
      </c>
      <c r="R78">
        <f t="shared" si="11"/>
        <v>999</v>
      </c>
    </row>
    <row r="79" spans="1:18" x14ac:dyDescent="0.25">
      <c r="A79" s="17">
        <v>999</v>
      </c>
      <c r="B79" s="18">
        <v>78504</v>
      </c>
      <c r="C79" s="18">
        <v>24</v>
      </c>
      <c r="D79" s="19" t="s">
        <v>210</v>
      </c>
      <c r="E79" s="19" t="s">
        <v>19</v>
      </c>
      <c r="F79" s="18">
        <v>5</v>
      </c>
      <c r="G79" s="19" t="s">
        <v>16</v>
      </c>
      <c r="H79" s="19" t="s">
        <v>220</v>
      </c>
      <c r="I79" s="19" t="s">
        <v>215</v>
      </c>
      <c r="J79" s="19"/>
      <c r="K79" s="20">
        <v>0</v>
      </c>
      <c r="N79">
        <f t="shared" si="8"/>
        <v>78504</v>
      </c>
      <c r="O79">
        <f>IF(AND(A79&gt;0,A79&lt;999),IFERROR(VLOOKUP(results0120[[#This Row],[Card]],U14M[],1,FALSE),0),0)</f>
        <v>0</v>
      </c>
      <c r="P79">
        <f t="shared" si="9"/>
        <v>999</v>
      </c>
      <c r="Q79">
        <f t="shared" si="10"/>
        <v>999</v>
      </c>
      <c r="R79">
        <f t="shared" si="11"/>
        <v>999</v>
      </c>
    </row>
    <row r="80" spans="1:18" x14ac:dyDescent="0.25">
      <c r="A80" s="13">
        <v>999</v>
      </c>
      <c r="B80" s="14">
        <v>81481</v>
      </c>
      <c r="C80" s="14">
        <v>27</v>
      </c>
      <c r="D80" s="15" t="s">
        <v>182</v>
      </c>
      <c r="E80" s="15" t="s">
        <v>31</v>
      </c>
      <c r="F80" s="14">
        <v>4</v>
      </c>
      <c r="G80" s="15" t="s">
        <v>16</v>
      </c>
      <c r="H80" s="15" t="s">
        <v>220</v>
      </c>
      <c r="I80" s="15">
        <v>49.13</v>
      </c>
      <c r="J80" s="15"/>
      <c r="K80" s="16">
        <v>0</v>
      </c>
      <c r="N80">
        <f t="shared" si="8"/>
        <v>81481</v>
      </c>
      <c r="O80">
        <f>IF(AND(A80&gt;0,A80&lt;999),IFERROR(VLOOKUP(results0120[[#This Row],[Card]],U14M[],1,FALSE),0),0)</f>
        <v>0</v>
      </c>
      <c r="P80">
        <f t="shared" si="9"/>
        <v>999</v>
      </c>
      <c r="Q80">
        <f t="shared" si="10"/>
        <v>999</v>
      </c>
      <c r="R80">
        <f t="shared" si="11"/>
        <v>50</v>
      </c>
    </row>
    <row r="81" spans="1:18" x14ac:dyDescent="0.25">
      <c r="A81" s="17">
        <v>999</v>
      </c>
      <c r="B81" s="18">
        <v>82224</v>
      </c>
      <c r="C81" s="18">
        <v>29</v>
      </c>
      <c r="D81" s="19" t="s">
        <v>190</v>
      </c>
      <c r="E81" s="19" t="s">
        <v>101</v>
      </c>
      <c r="F81" s="18">
        <v>4</v>
      </c>
      <c r="G81" s="19" t="s">
        <v>16</v>
      </c>
      <c r="H81" s="19" t="s">
        <v>220</v>
      </c>
      <c r="I81" s="19" t="s">
        <v>215</v>
      </c>
      <c r="J81" s="19"/>
      <c r="K81" s="20">
        <v>0</v>
      </c>
      <c r="N81">
        <f t="shared" si="8"/>
        <v>82224</v>
      </c>
      <c r="O81">
        <f>IF(AND(A81&gt;0,A81&lt;999),IFERROR(VLOOKUP(results0120[[#This Row],[Card]],U14M[],1,FALSE),0),0)</f>
        <v>0</v>
      </c>
      <c r="P81">
        <f t="shared" si="9"/>
        <v>999</v>
      </c>
      <c r="Q81">
        <f t="shared" si="10"/>
        <v>999</v>
      </c>
      <c r="R81">
        <f t="shared" si="11"/>
        <v>999</v>
      </c>
    </row>
    <row r="82" spans="1:18" x14ac:dyDescent="0.25">
      <c r="A82" s="13">
        <v>999</v>
      </c>
      <c r="B82" s="14">
        <v>88391</v>
      </c>
      <c r="C82" s="14">
        <v>36</v>
      </c>
      <c r="D82" s="15" t="s">
        <v>284</v>
      </c>
      <c r="E82" s="15" t="s">
        <v>155</v>
      </c>
      <c r="F82" s="14">
        <v>5</v>
      </c>
      <c r="G82" s="15" t="s">
        <v>16</v>
      </c>
      <c r="H82" s="15" t="s">
        <v>220</v>
      </c>
      <c r="I82" s="15" t="s">
        <v>215</v>
      </c>
      <c r="J82" s="15"/>
      <c r="K82" s="16">
        <v>0</v>
      </c>
      <c r="N82">
        <f t="shared" si="8"/>
        <v>88391</v>
      </c>
      <c r="O82">
        <f>IF(AND(A82&gt;0,A82&lt;999),IFERROR(VLOOKUP(results0120[[#This Row],[Card]],U14M[],1,FALSE),0),0)</f>
        <v>0</v>
      </c>
      <c r="P82">
        <f t="shared" si="9"/>
        <v>999</v>
      </c>
      <c r="Q82">
        <f t="shared" si="10"/>
        <v>999</v>
      </c>
      <c r="R82">
        <f t="shared" si="11"/>
        <v>999</v>
      </c>
    </row>
    <row r="83" spans="1:18" x14ac:dyDescent="0.25">
      <c r="A83" s="17">
        <v>999</v>
      </c>
      <c r="B83" s="18">
        <v>80701</v>
      </c>
      <c r="C83" s="18">
        <v>37</v>
      </c>
      <c r="D83" s="19" t="s">
        <v>216</v>
      </c>
      <c r="E83" s="19" t="s">
        <v>31</v>
      </c>
      <c r="F83" s="18">
        <v>5</v>
      </c>
      <c r="G83" s="19" t="s">
        <v>16</v>
      </c>
      <c r="H83" s="19" t="s">
        <v>220</v>
      </c>
      <c r="I83" s="19" t="s">
        <v>215</v>
      </c>
      <c r="J83" s="19"/>
      <c r="K83" s="20">
        <v>0</v>
      </c>
      <c r="N83">
        <f t="shared" si="8"/>
        <v>80701</v>
      </c>
      <c r="O83">
        <f>IF(AND(A83&gt;0,A83&lt;999),IFERROR(VLOOKUP(results0120[[#This Row],[Card]],U14M[],1,FALSE),0),0)</f>
        <v>0</v>
      </c>
      <c r="P83">
        <f t="shared" si="9"/>
        <v>999</v>
      </c>
      <c r="Q83">
        <f t="shared" si="10"/>
        <v>999</v>
      </c>
      <c r="R83">
        <f t="shared" si="11"/>
        <v>999</v>
      </c>
    </row>
    <row r="84" spans="1:18" x14ac:dyDescent="0.25">
      <c r="A84" s="13">
        <v>999</v>
      </c>
      <c r="B84" s="14">
        <v>78165</v>
      </c>
      <c r="C84" s="14">
        <v>39</v>
      </c>
      <c r="D84" s="15" t="s">
        <v>119</v>
      </c>
      <c r="E84" s="15" t="s">
        <v>61</v>
      </c>
      <c r="F84" s="14">
        <v>4</v>
      </c>
      <c r="G84" s="15" t="s">
        <v>16</v>
      </c>
      <c r="H84" s="15" t="s">
        <v>220</v>
      </c>
      <c r="I84" s="15">
        <v>47.27</v>
      </c>
      <c r="J84" s="15"/>
      <c r="K84" s="16">
        <v>0</v>
      </c>
      <c r="N84">
        <f t="shared" si="8"/>
        <v>78165</v>
      </c>
      <c r="O84">
        <f>IF(AND(A84&gt;0,A84&lt;999),IFERROR(VLOOKUP(results0120[[#This Row],[Card]],U14M[],1,FALSE),0),0)</f>
        <v>0</v>
      </c>
      <c r="P84">
        <f t="shared" si="9"/>
        <v>999</v>
      </c>
      <c r="Q84">
        <f t="shared" si="10"/>
        <v>999</v>
      </c>
      <c r="R84">
        <f t="shared" si="11"/>
        <v>38</v>
      </c>
    </row>
    <row r="85" spans="1:18" x14ac:dyDescent="0.25">
      <c r="A85" s="17">
        <v>999</v>
      </c>
      <c r="B85" s="18">
        <v>86128</v>
      </c>
      <c r="C85" s="18">
        <v>49</v>
      </c>
      <c r="D85" s="19" t="s">
        <v>461</v>
      </c>
      <c r="E85" s="19" t="s">
        <v>61</v>
      </c>
      <c r="F85" s="18">
        <v>5</v>
      </c>
      <c r="G85" s="19" t="s">
        <v>16</v>
      </c>
      <c r="H85" s="19" t="s">
        <v>220</v>
      </c>
      <c r="I85" s="19">
        <v>53.13</v>
      </c>
      <c r="J85" s="19"/>
      <c r="K85" s="20">
        <v>0</v>
      </c>
      <c r="N85">
        <f t="shared" si="8"/>
        <v>86128</v>
      </c>
      <c r="O85">
        <f>IF(AND(A85&gt;0,A85&lt;999),IFERROR(VLOOKUP(results0120[[#This Row],[Card]],U14M[],1,FALSE),0),0)</f>
        <v>0</v>
      </c>
      <c r="P85">
        <f t="shared" si="9"/>
        <v>999</v>
      </c>
      <c r="Q85">
        <f t="shared" si="10"/>
        <v>999</v>
      </c>
      <c r="R85">
        <f t="shared" si="11"/>
        <v>70</v>
      </c>
    </row>
    <row r="86" spans="1:18" x14ac:dyDescent="0.25">
      <c r="A86" s="13">
        <v>999</v>
      </c>
      <c r="B86" s="14">
        <v>84868</v>
      </c>
      <c r="C86" s="14">
        <v>50</v>
      </c>
      <c r="D86" s="15" t="s">
        <v>312</v>
      </c>
      <c r="E86" s="15" t="s">
        <v>54</v>
      </c>
      <c r="F86" s="14">
        <v>5</v>
      </c>
      <c r="G86" s="15" t="s">
        <v>16</v>
      </c>
      <c r="H86" s="15" t="s">
        <v>220</v>
      </c>
      <c r="I86" s="15">
        <v>53.1</v>
      </c>
      <c r="J86" s="15"/>
      <c r="K86" s="16">
        <v>0</v>
      </c>
      <c r="N86">
        <f t="shared" si="8"/>
        <v>84868</v>
      </c>
      <c r="O86">
        <f>IF(AND(A86&gt;0,A86&lt;999),IFERROR(VLOOKUP(results0120[[#This Row],[Card]],U14M[],1,FALSE),0),0)</f>
        <v>0</v>
      </c>
      <c r="P86">
        <f t="shared" si="9"/>
        <v>999</v>
      </c>
      <c r="Q86">
        <f t="shared" si="10"/>
        <v>999</v>
      </c>
      <c r="R86">
        <f t="shared" si="11"/>
        <v>69</v>
      </c>
    </row>
    <row r="87" spans="1:18" x14ac:dyDescent="0.25">
      <c r="A87" s="17">
        <v>999</v>
      </c>
      <c r="B87" s="18">
        <v>76864</v>
      </c>
      <c r="C87" s="18">
        <v>57</v>
      </c>
      <c r="D87" s="19" t="s">
        <v>107</v>
      </c>
      <c r="E87" s="19" t="s">
        <v>38</v>
      </c>
      <c r="F87" s="18">
        <v>4</v>
      </c>
      <c r="G87" s="19" t="s">
        <v>16</v>
      </c>
      <c r="H87" s="19" t="s">
        <v>220</v>
      </c>
      <c r="I87" s="19">
        <v>46.93</v>
      </c>
      <c r="J87" s="19"/>
      <c r="K87" s="20">
        <v>0</v>
      </c>
      <c r="N87">
        <f t="shared" si="8"/>
        <v>76864</v>
      </c>
      <c r="O87">
        <f>IF(AND(A87&gt;0,A87&lt;999),IFERROR(VLOOKUP(results0120[[#This Row],[Card]],U14M[],1,FALSE),0),0)</f>
        <v>0</v>
      </c>
      <c r="P87">
        <f t="shared" si="9"/>
        <v>999</v>
      </c>
      <c r="Q87">
        <f t="shared" si="10"/>
        <v>999</v>
      </c>
      <c r="R87">
        <f t="shared" si="11"/>
        <v>34</v>
      </c>
    </row>
    <row r="88" spans="1:18" x14ac:dyDescent="0.25">
      <c r="A88" s="13">
        <v>999</v>
      </c>
      <c r="B88" s="14">
        <v>80627</v>
      </c>
      <c r="C88" s="14">
        <v>59</v>
      </c>
      <c r="D88" s="15" t="s">
        <v>222</v>
      </c>
      <c r="E88" s="15" t="s">
        <v>19</v>
      </c>
      <c r="F88" s="14">
        <v>5</v>
      </c>
      <c r="G88" s="15" t="s">
        <v>16</v>
      </c>
      <c r="H88" s="15" t="s">
        <v>220</v>
      </c>
      <c r="I88" s="15">
        <v>49.86</v>
      </c>
      <c r="J88" s="15"/>
      <c r="K88" s="16">
        <v>0</v>
      </c>
      <c r="N88">
        <f t="shared" si="8"/>
        <v>80627</v>
      </c>
      <c r="O88">
        <f>IF(AND(A88&gt;0,A88&lt;999),IFERROR(VLOOKUP(results0120[[#This Row],[Card]],U14M[],1,FALSE),0),0)</f>
        <v>0</v>
      </c>
      <c r="P88">
        <f t="shared" si="9"/>
        <v>999</v>
      </c>
      <c r="Q88">
        <f t="shared" si="10"/>
        <v>999</v>
      </c>
      <c r="R88">
        <f t="shared" si="11"/>
        <v>52</v>
      </c>
    </row>
    <row r="89" spans="1:18" x14ac:dyDescent="0.25">
      <c r="A89" s="17">
        <v>999</v>
      </c>
      <c r="B89" s="18">
        <v>80824</v>
      </c>
      <c r="C89" s="18">
        <v>71</v>
      </c>
      <c r="D89" s="19" t="s">
        <v>80</v>
      </c>
      <c r="E89" s="19" t="s">
        <v>54</v>
      </c>
      <c r="F89" s="18">
        <v>4</v>
      </c>
      <c r="G89" s="19" t="s">
        <v>16</v>
      </c>
      <c r="H89" s="19" t="s">
        <v>220</v>
      </c>
      <c r="I89" s="19" t="s">
        <v>215</v>
      </c>
      <c r="J89" s="19"/>
      <c r="K89" s="20">
        <v>0</v>
      </c>
      <c r="N89">
        <f t="shared" si="8"/>
        <v>80824</v>
      </c>
      <c r="O89">
        <f>IF(AND(A89&gt;0,A89&lt;999),IFERROR(VLOOKUP(results0120[[#This Row],[Card]],U14M[],1,FALSE),0),0)</f>
        <v>0</v>
      </c>
      <c r="P89">
        <f t="shared" si="9"/>
        <v>999</v>
      </c>
      <c r="Q89">
        <f t="shared" si="10"/>
        <v>999</v>
      </c>
      <c r="R89">
        <f t="shared" si="11"/>
        <v>999</v>
      </c>
    </row>
    <row r="90" spans="1:18" x14ac:dyDescent="0.25">
      <c r="A90" s="13">
        <v>999</v>
      </c>
      <c r="B90" s="14">
        <v>80618</v>
      </c>
      <c r="C90" s="14">
        <v>75</v>
      </c>
      <c r="D90" s="15" t="s">
        <v>123</v>
      </c>
      <c r="E90" s="15" t="s">
        <v>19</v>
      </c>
      <c r="F90" s="14">
        <v>4</v>
      </c>
      <c r="G90" s="15" t="s">
        <v>16</v>
      </c>
      <c r="H90" s="15" t="s">
        <v>220</v>
      </c>
      <c r="I90" s="15">
        <v>61.78</v>
      </c>
      <c r="J90" s="15"/>
      <c r="K90" s="16">
        <v>0</v>
      </c>
      <c r="N90">
        <f t="shared" si="8"/>
        <v>80618</v>
      </c>
      <c r="O90">
        <f>IF(AND(A90&gt;0,A90&lt;999),IFERROR(VLOOKUP(results0120[[#This Row],[Card]],U14M[],1,FALSE),0),0)</f>
        <v>0</v>
      </c>
      <c r="P90">
        <f t="shared" si="9"/>
        <v>999</v>
      </c>
      <c r="Q90">
        <f t="shared" si="10"/>
        <v>999</v>
      </c>
      <c r="R90">
        <f t="shared" si="11"/>
        <v>78</v>
      </c>
    </row>
    <row r="91" spans="1:18" x14ac:dyDescent="0.25">
      <c r="A91" s="17">
        <v>999</v>
      </c>
      <c r="B91" s="18">
        <v>80698</v>
      </c>
      <c r="C91" s="18">
        <v>81</v>
      </c>
      <c r="D91" s="19" t="s">
        <v>30</v>
      </c>
      <c r="E91" s="19" t="s">
        <v>31</v>
      </c>
      <c r="F91" s="18">
        <v>4</v>
      </c>
      <c r="G91" s="19" t="s">
        <v>16</v>
      </c>
      <c r="H91" s="19" t="s">
        <v>220</v>
      </c>
      <c r="I91" s="19">
        <v>42.74</v>
      </c>
      <c r="J91" s="19"/>
      <c r="K91" s="20">
        <v>0</v>
      </c>
      <c r="N91">
        <f t="shared" si="8"/>
        <v>80698</v>
      </c>
      <c r="O91">
        <f>IF(AND(A91&gt;0,A91&lt;999),IFERROR(VLOOKUP(results0120[[#This Row],[Card]],U14M[],1,FALSE),0),0)</f>
        <v>0</v>
      </c>
      <c r="P91">
        <f t="shared" si="9"/>
        <v>999</v>
      </c>
      <c r="Q91">
        <f t="shared" si="10"/>
        <v>999</v>
      </c>
      <c r="R91">
        <f t="shared" si="11"/>
        <v>5</v>
      </c>
    </row>
    <row r="92" spans="1:18" x14ac:dyDescent="0.25">
      <c r="A92" s="13">
        <v>999</v>
      </c>
      <c r="B92" s="14">
        <v>74564</v>
      </c>
      <c r="C92" s="14">
        <v>82</v>
      </c>
      <c r="D92" s="15" t="s">
        <v>100</v>
      </c>
      <c r="E92" s="15" t="s">
        <v>101</v>
      </c>
      <c r="F92" s="14">
        <v>5</v>
      </c>
      <c r="G92" s="15" t="s">
        <v>16</v>
      </c>
      <c r="H92" s="15" t="s">
        <v>220</v>
      </c>
      <c r="I92" s="15" t="s">
        <v>215</v>
      </c>
      <c r="J92" s="15"/>
      <c r="K92" s="16">
        <v>0</v>
      </c>
      <c r="N92">
        <f t="shared" si="8"/>
        <v>74564</v>
      </c>
      <c r="O92">
        <f>IF(AND(A92&gt;0,A92&lt;999),IFERROR(VLOOKUP(results0120[[#This Row],[Card]],U14M[],1,FALSE),0),0)</f>
        <v>0</v>
      </c>
      <c r="P92">
        <f t="shared" si="9"/>
        <v>999</v>
      </c>
      <c r="Q92">
        <f t="shared" si="10"/>
        <v>999</v>
      </c>
      <c r="R92">
        <f t="shared" si="11"/>
        <v>999</v>
      </c>
    </row>
    <row r="93" spans="1:18" x14ac:dyDescent="0.25">
      <c r="A93" s="17">
        <v>999</v>
      </c>
      <c r="B93" s="18">
        <v>84722</v>
      </c>
      <c r="C93" s="18">
        <v>83</v>
      </c>
      <c r="D93" s="19" t="s">
        <v>169</v>
      </c>
      <c r="E93" s="19" t="s">
        <v>61</v>
      </c>
      <c r="F93" s="18">
        <v>4</v>
      </c>
      <c r="G93" s="19" t="s">
        <v>16</v>
      </c>
      <c r="H93" s="19" t="s">
        <v>220</v>
      </c>
      <c r="I93" s="19" t="s">
        <v>215</v>
      </c>
      <c r="J93" s="19"/>
      <c r="K93" s="20">
        <v>0</v>
      </c>
      <c r="N93">
        <f t="shared" si="8"/>
        <v>84722</v>
      </c>
      <c r="O93">
        <f>IF(AND(A93&gt;0,A93&lt;999),IFERROR(VLOOKUP(results0120[[#This Row],[Card]],U14M[],1,FALSE),0),0)</f>
        <v>0</v>
      </c>
      <c r="P93">
        <f t="shared" si="9"/>
        <v>999</v>
      </c>
      <c r="Q93">
        <f t="shared" si="10"/>
        <v>999</v>
      </c>
      <c r="R93">
        <f t="shared" si="11"/>
        <v>999</v>
      </c>
    </row>
    <row r="94" spans="1:18" x14ac:dyDescent="0.25">
      <c r="A94" s="13">
        <v>999</v>
      </c>
      <c r="B94" s="14">
        <v>78398</v>
      </c>
      <c r="C94" s="14">
        <v>84</v>
      </c>
      <c r="D94" s="15" t="s">
        <v>156</v>
      </c>
      <c r="E94" s="15" t="s">
        <v>19</v>
      </c>
      <c r="F94" s="14">
        <v>4</v>
      </c>
      <c r="G94" s="15" t="s">
        <v>16</v>
      </c>
      <c r="H94" s="15" t="s">
        <v>220</v>
      </c>
      <c r="I94" s="15">
        <v>46.94</v>
      </c>
      <c r="J94" s="15"/>
      <c r="K94" s="16">
        <v>0</v>
      </c>
      <c r="N94">
        <f t="shared" si="8"/>
        <v>78398</v>
      </c>
      <c r="O94">
        <f>IF(AND(A94&gt;0,A94&lt;999),IFERROR(VLOOKUP(results0120[[#This Row],[Card]],U14M[],1,FALSE),0),0)</f>
        <v>0</v>
      </c>
      <c r="P94">
        <f t="shared" si="9"/>
        <v>999</v>
      </c>
      <c r="Q94">
        <f t="shared" si="10"/>
        <v>999</v>
      </c>
      <c r="R94">
        <f t="shared" si="11"/>
        <v>35</v>
      </c>
    </row>
    <row r="95" spans="1:18" x14ac:dyDescent="0.25">
      <c r="A95" s="17">
        <v>999</v>
      </c>
      <c r="B95" s="18">
        <v>80621</v>
      </c>
      <c r="C95" s="18">
        <v>97</v>
      </c>
      <c r="D95" s="19" t="s">
        <v>18</v>
      </c>
      <c r="E95" s="19" t="s">
        <v>19</v>
      </c>
      <c r="F95" s="18">
        <v>4</v>
      </c>
      <c r="G95" s="19" t="s">
        <v>16</v>
      </c>
      <c r="H95" s="19" t="s">
        <v>220</v>
      </c>
      <c r="I95" s="19">
        <v>42.26</v>
      </c>
      <c r="J95" s="19"/>
      <c r="K95" s="20">
        <v>0</v>
      </c>
      <c r="N95">
        <f t="shared" si="8"/>
        <v>80621</v>
      </c>
      <c r="O95">
        <f>IF(AND(A95&gt;0,A95&lt;999),IFERROR(VLOOKUP(results0120[[#This Row],[Card]],U14M[],1,FALSE),0),0)</f>
        <v>0</v>
      </c>
      <c r="P95">
        <f t="shared" si="9"/>
        <v>999</v>
      </c>
      <c r="Q95">
        <f t="shared" si="10"/>
        <v>999</v>
      </c>
      <c r="R95">
        <f t="shared" si="11"/>
        <v>3</v>
      </c>
    </row>
    <row r="96" spans="1:18" x14ac:dyDescent="0.25">
      <c r="A96" s="13">
        <v>999</v>
      </c>
      <c r="B96" s="14">
        <v>82441</v>
      </c>
      <c r="C96" s="14">
        <v>104</v>
      </c>
      <c r="D96" s="15" t="s">
        <v>96</v>
      </c>
      <c r="E96" s="15" t="s">
        <v>15</v>
      </c>
      <c r="F96" s="14">
        <v>4</v>
      </c>
      <c r="G96" s="15" t="s">
        <v>16</v>
      </c>
      <c r="H96" s="15" t="s">
        <v>220</v>
      </c>
      <c r="I96" s="15">
        <v>45.75</v>
      </c>
      <c r="J96" s="15"/>
      <c r="K96" s="16">
        <v>0</v>
      </c>
      <c r="N96">
        <f t="shared" si="8"/>
        <v>82441</v>
      </c>
      <c r="O96">
        <f>IF(AND(A96&gt;0,A96&lt;999),IFERROR(VLOOKUP(results0120[[#This Row],[Card]],U14M[],1,FALSE),0),0)</f>
        <v>0</v>
      </c>
      <c r="P96">
        <f t="shared" si="9"/>
        <v>999</v>
      </c>
      <c r="Q96">
        <f t="shared" si="10"/>
        <v>999</v>
      </c>
      <c r="R96">
        <f t="shared" si="11"/>
        <v>25</v>
      </c>
    </row>
    <row r="97" spans="1:18" x14ac:dyDescent="0.25">
      <c r="A97" s="17">
        <v>999</v>
      </c>
      <c r="B97" s="18">
        <v>82314</v>
      </c>
      <c r="C97" s="18">
        <v>111</v>
      </c>
      <c r="D97" s="19" t="s">
        <v>78</v>
      </c>
      <c r="E97" s="19" t="s">
        <v>15</v>
      </c>
      <c r="F97" s="18">
        <v>4</v>
      </c>
      <c r="G97" s="19" t="s">
        <v>16</v>
      </c>
      <c r="H97" s="19" t="s">
        <v>220</v>
      </c>
      <c r="I97" s="19">
        <v>44.39</v>
      </c>
      <c r="J97" s="19"/>
      <c r="K97" s="20">
        <v>0</v>
      </c>
      <c r="N97">
        <f t="shared" si="8"/>
        <v>82314</v>
      </c>
      <c r="O97">
        <f>IF(AND(A97&gt;0,A97&lt;999),IFERROR(VLOOKUP(results0120[[#This Row],[Card]],U14M[],1,FALSE),0),0)</f>
        <v>0</v>
      </c>
      <c r="P97">
        <f t="shared" si="9"/>
        <v>999</v>
      </c>
      <c r="Q97">
        <f t="shared" si="10"/>
        <v>999</v>
      </c>
      <c r="R97">
        <f t="shared" si="11"/>
        <v>14</v>
      </c>
    </row>
    <row r="98" spans="1:18" x14ac:dyDescent="0.25">
      <c r="A98" s="13">
        <v>999</v>
      </c>
      <c r="B98" s="14">
        <v>80820</v>
      </c>
      <c r="C98" s="14">
        <v>6</v>
      </c>
      <c r="D98" s="15" t="s">
        <v>808</v>
      </c>
      <c r="E98" s="15" t="s">
        <v>54</v>
      </c>
      <c r="F98" s="14">
        <v>4</v>
      </c>
      <c r="G98" s="15" t="s">
        <v>16</v>
      </c>
      <c r="H98" s="15" t="s">
        <v>876</v>
      </c>
      <c r="I98" s="15" t="s">
        <v>215</v>
      </c>
      <c r="J98" s="15"/>
      <c r="K98" s="16">
        <v>0</v>
      </c>
      <c r="N98">
        <f t="shared" ref="N98:N113" si="12">B98</f>
        <v>80820</v>
      </c>
      <c r="O98">
        <f>IF(AND(A98&gt;0,A98&lt;999),IFERROR(VLOOKUP(results0120[[#This Row],[Card]],U14M[],1,FALSE),0),0)</f>
        <v>0</v>
      </c>
      <c r="P98">
        <f t="shared" ref="P98:P113" si="13">A98</f>
        <v>999</v>
      </c>
      <c r="Q98">
        <f t="shared" ref="Q98:Q113" si="14">IFERROR(_xlfn.RANK.EQ(H98,$H$2:$H$113,1),999)</f>
        <v>999</v>
      </c>
      <c r="R98">
        <f t="shared" ref="R98:R113" si="15">IFERROR(_xlfn.RANK.EQ(I98,$I$2:$I$113,1),999)</f>
        <v>999</v>
      </c>
    </row>
    <row r="99" spans="1:18" x14ac:dyDescent="0.25">
      <c r="A99" s="17">
        <v>999</v>
      </c>
      <c r="B99" s="18">
        <v>81736</v>
      </c>
      <c r="C99" s="18">
        <v>17</v>
      </c>
      <c r="D99" s="19" t="s">
        <v>184</v>
      </c>
      <c r="E99" s="19" t="s">
        <v>31</v>
      </c>
      <c r="F99" s="18">
        <v>4</v>
      </c>
      <c r="G99" s="19" t="s">
        <v>16</v>
      </c>
      <c r="H99" s="19" t="s">
        <v>380</v>
      </c>
      <c r="I99" s="19">
        <v>51.62</v>
      </c>
      <c r="J99" s="19"/>
      <c r="K99" s="20">
        <v>0</v>
      </c>
      <c r="N99">
        <f t="shared" si="12"/>
        <v>81736</v>
      </c>
      <c r="O99">
        <f>IF(AND(A99&gt;0,A99&lt;999),IFERROR(VLOOKUP(results0120[[#This Row],[Card]],U14M[],1,FALSE),0),0)</f>
        <v>0</v>
      </c>
      <c r="P99">
        <f t="shared" si="13"/>
        <v>999</v>
      </c>
      <c r="Q99">
        <f t="shared" si="14"/>
        <v>999</v>
      </c>
      <c r="R99">
        <f t="shared" si="15"/>
        <v>61</v>
      </c>
    </row>
    <row r="100" spans="1:18" x14ac:dyDescent="0.25">
      <c r="A100" s="13">
        <v>999</v>
      </c>
      <c r="B100" s="14">
        <v>80713</v>
      </c>
      <c r="C100" s="14">
        <v>67</v>
      </c>
      <c r="D100" s="15" t="s">
        <v>21</v>
      </c>
      <c r="E100" s="15" t="s">
        <v>22</v>
      </c>
      <c r="F100" s="14">
        <v>4</v>
      </c>
      <c r="G100" s="15" t="s">
        <v>16</v>
      </c>
      <c r="H100" s="15" t="s">
        <v>534</v>
      </c>
      <c r="I100" s="15">
        <v>43</v>
      </c>
      <c r="J100" s="15"/>
      <c r="K100" s="16">
        <v>0</v>
      </c>
      <c r="N100">
        <f t="shared" si="12"/>
        <v>80713</v>
      </c>
      <c r="O100">
        <f>IF(AND(A100&gt;0,A100&lt;999),IFERROR(VLOOKUP(results0120[[#This Row],[Card]],U14M[],1,FALSE),0),0)</f>
        <v>0</v>
      </c>
      <c r="P100">
        <f t="shared" si="13"/>
        <v>999</v>
      </c>
      <c r="Q100">
        <f t="shared" si="14"/>
        <v>999</v>
      </c>
      <c r="R100">
        <f t="shared" si="15"/>
        <v>6</v>
      </c>
    </row>
    <row r="101" spans="1:18" x14ac:dyDescent="0.25">
      <c r="A101" s="17">
        <v>999</v>
      </c>
      <c r="B101" s="18">
        <v>85566</v>
      </c>
      <c r="C101" s="18">
        <v>86</v>
      </c>
      <c r="D101" s="19" t="s">
        <v>150</v>
      </c>
      <c r="E101" s="19" t="s">
        <v>117</v>
      </c>
      <c r="F101" s="18">
        <v>5</v>
      </c>
      <c r="G101" s="19" t="s">
        <v>16</v>
      </c>
      <c r="H101" s="19" t="s">
        <v>877</v>
      </c>
      <c r="I101" s="19">
        <v>50.61</v>
      </c>
      <c r="J101" s="19"/>
      <c r="K101" s="20">
        <v>0</v>
      </c>
      <c r="N101">
        <f t="shared" si="12"/>
        <v>85566</v>
      </c>
      <c r="O101">
        <f>IF(AND(A101&gt;0,A101&lt;999),IFERROR(VLOOKUP(results0120[[#This Row],[Card]],U14M[],1,FALSE),0),0)</f>
        <v>0</v>
      </c>
      <c r="P101">
        <f t="shared" si="13"/>
        <v>999</v>
      </c>
      <c r="Q101">
        <f t="shared" si="14"/>
        <v>999</v>
      </c>
      <c r="R101">
        <f t="shared" si="15"/>
        <v>57</v>
      </c>
    </row>
    <row r="102" spans="1:18" x14ac:dyDescent="0.25">
      <c r="A102" s="13">
        <v>999</v>
      </c>
      <c r="B102" s="14">
        <v>81810</v>
      </c>
      <c r="C102" s="14">
        <v>103</v>
      </c>
      <c r="D102" s="15" t="s">
        <v>329</v>
      </c>
      <c r="E102" s="15" t="s">
        <v>54</v>
      </c>
      <c r="F102" s="14">
        <v>4</v>
      </c>
      <c r="G102" s="15" t="s">
        <v>16</v>
      </c>
      <c r="H102" s="15" t="s">
        <v>380</v>
      </c>
      <c r="I102" s="15" t="s">
        <v>215</v>
      </c>
      <c r="J102" s="15"/>
      <c r="K102" s="16">
        <v>0</v>
      </c>
      <c r="N102">
        <f t="shared" si="12"/>
        <v>81810</v>
      </c>
      <c r="O102">
        <f>IF(AND(A102&gt;0,A102&lt;999),IFERROR(VLOOKUP(results0120[[#This Row],[Card]],U14M[],1,FALSE),0),0)</f>
        <v>0</v>
      </c>
      <c r="P102">
        <f t="shared" si="13"/>
        <v>999</v>
      </c>
      <c r="Q102">
        <f t="shared" si="14"/>
        <v>999</v>
      </c>
      <c r="R102">
        <f t="shared" si="15"/>
        <v>999</v>
      </c>
    </row>
    <row r="103" spans="1:18" x14ac:dyDescent="0.25">
      <c r="A103" s="17">
        <v>999</v>
      </c>
      <c r="B103" s="18">
        <v>78200</v>
      </c>
      <c r="C103" s="18">
        <v>7</v>
      </c>
      <c r="D103" s="19" t="s">
        <v>49</v>
      </c>
      <c r="E103" s="19" t="s">
        <v>31</v>
      </c>
      <c r="F103" s="18">
        <v>5</v>
      </c>
      <c r="G103" s="19" t="s">
        <v>16</v>
      </c>
      <c r="H103" s="19">
        <v>43.18</v>
      </c>
      <c r="I103" s="19" t="s">
        <v>220</v>
      </c>
      <c r="J103" s="19"/>
      <c r="K103" s="20">
        <v>0</v>
      </c>
      <c r="N103">
        <f t="shared" si="12"/>
        <v>78200</v>
      </c>
      <c r="O103">
        <f>IF(AND(A103&gt;0,A103&lt;999),IFERROR(VLOOKUP(results0120[[#This Row],[Card]],U14M[],1,FALSE),0),0)</f>
        <v>0</v>
      </c>
      <c r="P103">
        <f t="shared" si="13"/>
        <v>999</v>
      </c>
      <c r="Q103">
        <f t="shared" si="14"/>
        <v>5</v>
      </c>
      <c r="R103">
        <f t="shared" si="15"/>
        <v>999</v>
      </c>
    </row>
    <row r="104" spans="1:18" x14ac:dyDescent="0.25">
      <c r="A104" s="13">
        <v>999</v>
      </c>
      <c r="B104" s="14">
        <v>76572</v>
      </c>
      <c r="C104" s="14">
        <v>12</v>
      </c>
      <c r="D104" s="15" t="s">
        <v>109</v>
      </c>
      <c r="E104" s="15" t="s">
        <v>38</v>
      </c>
      <c r="F104" s="14">
        <v>4</v>
      </c>
      <c r="G104" s="15" t="s">
        <v>16</v>
      </c>
      <c r="H104" s="15">
        <v>52.76</v>
      </c>
      <c r="I104" s="15" t="s">
        <v>220</v>
      </c>
      <c r="J104" s="15"/>
      <c r="K104" s="16">
        <v>0</v>
      </c>
      <c r="N104">
        <f t="shared" si="12"/>
        <v>76572</v>
      </c>
      <c r="O104">
        <f>IF(AND(A104&gt;0,A104&lt;999),IFERROR(VLOOKUP(results0120[[#This Row],[Card]],U14M[],1,FALSE),0),0)</f>
        <v>0</v>
      </c>
      <c r="P104">
        <f t="shared" si="13"/>
        <v>999</v>
      </c>
      <c r="Q104">
        <f t="shared" si="14"/>
        <v>56</v>
      </c>
      <c r="R104">
        <f t="shared" si="15"/>
        <v>999</v>
      </c>
    </row>
    <row r="105" spans="1:18" x14ac:dyDescent="0.25">
      <c r="A105" s="17">
        <v>999</v>
      </c>
      <c r="B105" s="18">
        <v>85772</v>
      </c>
      <c r="C105" s="18">
        <v>31</v>
      </c>
      <c r="D105" s="19" t="s">
        <v>196</v>
      </c>
      <c r="E105" s="19" t="s">
        <v>15</v>
      </c>
      <c r="F105" s="18">
        <v>5</v>
      </c>
      <c r="G105" s="19" t="s">
        <v>16</v>
      </c>
      <c r="H105" s="19">
        <v>48.34</v>
      </c>
      <c r="I105" s="19" t="s">
        <v>220</v>
      </c>
      <c r="J105" s="19"/>
      <c r="K105" s="20">
        <v>0</v>
      </c>
      <c r="N105">
        <f t="shared" si="12"/>
        <v>85772</v>
      </c>
      <c r="O105">
        <f>IF(AND(A105&gt;0,A105&lt;999),IFERROR(VLOOKUP(results0120[[#This Row],[Card]],U14M[],1,FALSE),0),0)</f>
        <v>0</v>
      </c>
      <c r="P105">
        <f t="shared" si="13"/>
        <v>999</v>
      </c>
      <c r="Q105">
        <f t="shared" si="14"/>
        <v>41</v>
      </c>
      <c r="R105">
        <f t="shared" si="15"/>
        <v>999</v>
      </c>
    </row>
    <row r="106" spans="1:18" x14ac:dyDescent="0.25">
      <c r="A106" s="13">
        <v>999</v>
      </c>
      <c r="B106" s="14">
        <v>81112</v>
      </c>
      <c r="C106" s="14">
        <v>44</v>
      </c>
      <c r="D106" s="15" t="s">
        <v>63</v>
      </c>
      <c r="E106" s="15" t="s">
        <v>22</v>
      </c>
      <c r="F106" s="14">
        <v>4</v>
      </c>
      <c r="G106" s="15" t="s">
        <v>16</v>
      </c>
      <c r="H106" s="15">
        <v>45.44</v>
      </c>
      <c r="I106" s="15" t="s">
        <v>220</v>
      </c>
      <c r="J106" s="15"/>
      <c r="K106" s="16">
        <v>0</v>
      </c>
      <c r="N106">
        <f t="shared" si="12"/>
        <v>81112</v>
      </c>
      <c r="O106">
        <f>IF(AND(A106&gt;0,A106&lt;999),IFERROR(VLOOKUP(results0120[[#This Row],[Card]],U14M[],1,FALSE),0),0)</f>
        <v>0</v>
      </c>
      <c r="P106">
        <f t="shared" si="13"/>
        <v>999</v>
      </c>
      <c r="Q106">
        <f t="shared" si="14"/>
        <v>19</v>
      </c>
      <c r="R106">
        <f t="shared" si="15"/>
        <v>999</v>
      </c>
    </row>
    <row r="107" spans="1:18" x14ac:dyDescent="0.25">
      <c r="A107" s="17">
        <v>999</v>
      </c>
      <c r="B107" s="18">
        <v>80615</v>
      </c>
      <c r="C107" s="18">
        <v>55</v>
      </c>
      <c r="D107" s="19" t="s">
        <v>292</v>
      </c>
      <c r="E107" s="19" t="s">
        <v>19</v>
      </c>
      <c r="F107" s="18">
        <v>4</v>
      </c>
      <c r="G107" s="19" t="s">
        <v>16</v>
      </c>
      <c r="H107" s="19">
        <v>53.64</v>
      </c>
      <c r="I107" s="19" t="s">
        <v>220</v>
      </c>
      <c r="J107" s="19"/>
      <c r="K107" s="20">
        <v>0</v>
      </c>
      <c r="N107">
        <f t="shared" si="12"/>
        <v>80615</v>
      </c>
      <c r="O107">
        <f>IF(AND(A107&gt;0,A107&lt;999),IFERROR(VLOOKUP(results0120[[#This Row],[Card]],U14M[],1,FALSE),0),0)</f>
        <v>0</v>
      </c>
      <c r="P107">
        <f t="shared" si="13"/>
        <v>999</v>
      </c>
      <c r="Q107">
        <f t="shared" si="14"/>
        <v>62</v>
      </c>
      <c r="R107">
        <f t="shared" si="15"/>
        <v>999</v>
      </c>
    </row>
    <row r="108" spans="1:18" x14ac:dyDescent="0.25">
      <c r="A108" s="13">
        <v>999</v>
      </c>
      <c r="B108" s="14">
        <v>84763</v>
      </c>
      <c r="C108" s="14">
        <v>65</v>
      </c>
      <c r="D108" s="15" t="s">
        <v>103</v>
      </c>
      <c r="E108" s="15" t="s">
        <v>15</v>
      </c>
      <c r="F108" s="14">
        <v>5</v>
      </c>
      <c r="G108" s="15" t="s">
        <v>16</v>
      </c>
      <c r="H108" s="15">
        <v>45.04</v>
      </c>
      <c r="I108" s="15" t="s">
        <v>220</v>
      </c>
      <c r="J108" s="15"/>
      <c r="K108" s="16">
        <v>0</v>
      </c>
      <c r="N108">
        <f t="shared" si="12"/>
        <v>84763</v>
      </c>
      <c r="O108">
        <f>IF(AND(A108&gt;0,A108&lt;999),IFERROR(VLOOKUP(results0120[[#This Row],[Card]],U14M[],1,FALSE),0),0)</f>
        <v>0</v>
      </c>
      <c r="P108">
        <f t="shared" si="13"/>
        <v>999</v>
      </c>
      <c r="Q108">
        <f t="shared" si="14"/>
        <v>12</v>
      </c>
      <c r="R108">
        <f t="shared" si="15"/>
        <v>999</v>
      </c>
    </row>
    <row r="109" spans="1:18" x14ac:dyDescent="0.25">
      <c r="A109" s="17">
        <v>999</v>
      </c>
      <c r="B109" s="18">
        <v>81500</v>
      </c>
      <c r="C109" s="18">
        <v>68</v>
      </c>
      <c r="D109" s="19" t="s">
        <v>131</v>
      </c>
      <c r="E109" s="19" t="s">
        <v>22</v>
      </c>
      <c r="F109" s="18">
        <v>5</v>
      </c>
      <c r="G109" s="19" t="s">
        <v>16</v>
      </c>
      <c r="H109" s="19">
        <v>55.56</v>
      </c>
      <c r="I109" s="19" t="s">
        <v>220</v>
      </c>
      <c r="J109" s="19"/>
      <c r="K109" s="20">
        <v>0</v>
      </c>
      <c r="N109">
        <f t="shared" si="12"/>
        <v>81500</v>
      </c>
      <c r="O109">
        <f>IF(AND(A109&gt;0,A109&lt;999),IFERROR(VLOOKUP(results0120[[#This Row],[Card]],U14M[],1,FALSE),0),0)</f>
        <v>0</v>
      </c>
      <c r="P109">
        <f t="shared" si="13"/>
        <v>999</v>
      </c>
      <c r="Q109">
        <f t="shared" si="14"/>
        <v>69</v>
      </c>
      <c r="R109">
        <f t="shared" si="15"/>
        <v>999</v>
      </c>
    </row>
    <row r="110" spans="1:18" x14ac:dyDescent="0.25">
      <c r="A110" s="13">
        <v>999</v>
      </c>
      <c r="B110" s="14">
        <v>81081</v>
      </c>
      <c r="C110" s="14">
        <v>70</v>
      </c>
      <c r="D110" s="15" t="s">
        <v>330</v>
      </c>
      <c r="E110" s="15" t="s">
        <v>31</v>
      </c>
      <c r="F110" s="14">
        <v>5</v>
      </c>
      <c r="G110" s="15" t="s">
        <v>16</v>
      </c>
      <c r="H110" s="15">
        <v>53.31</v>
      </c>
      <c r="I110" s="15" t="s">
        <v>220</v>
      </c>
      <c r="J110" s="15"/>
      <c r="K110" s="16">
        <v>0</v>
      </c>
      <c r="N110">
        <f t="shared" si="12"/>
        <v>81081</v>
      </c>
      <c r="O110">
        <f>IF(AND(A110&gt;0,A110&lt;999),IFERROR(VLOOKUP(results0120[[#This Row],[Card]],U14M[],1,FALSE),0),0)</f>
        <v>0</v>
      </c>
      <c r="P110">
        <f t="shared" si="13"/>
        <v>999</v>
      </c>
      <c r="Q110">
        <f t="shared" si="14"/>
        <v>61</v>
      </c>
      <c r="R110">
        <f t="shared" si="15"/>
        <v>999</v>
      </c>
    </row>
    <row r="111" spans="1:18" x14ac:dyDescent="0.25">
      <c r="A111" s="17">
        <v>999</v>
      </c>
      <c r="B111" s="18">
        <v>80714</v>
      </c>
      <c r="C111" s="18">
        <v>85</v>
      </c>
      <c r="D111" s="19" t="s">
        <v>152</v>
      </c>
      <c r="E111" s="19" t="s">
        <v>22</v>
      </c>
      <c r="F111" s="18">
        <v>5</v>
      </c>
      <c r="G111" s="19" t="s">
        <v>16</v>
      </c>
      <c r="H111" s="19">
        <v>47.62</v>
      </c>
      <c r="I111" s="19" t="s">
        <v>220</v>
      </c>
      <c r="J111" s="19"/>
      <c r="K111" s="20">
        <v>0</v>
      </c>
      <c r="N111">
        <f t="shared" si="12"/>
        <v>80714</v>
      </c>
      <c r="O111">
        <f>IF(AND(A111&gt;0,A111&lt;999),IFERROR(VLOOKUP(results0120[[#This Row],[Card]],U14M[],1,FALSE),0),0)</f>
        <v>0</v>
      </c>
      <c r="P111">
        <f t="shared" si="13"/>
        <v>999</v>
      </c>
      <c r="Q111">
        <f t="shared" si="14"/>
        <v>36</v>
      </c>
      <c r="R111">
        <f t="shared" si="15"/>
        <v>999</v>
      </c>
    </row>
    <row r="112" spans="1:18" x14ac:dyDescent="0.25">
      <c r="A112" s="13">
        <v>999</v>
      </c>
      <c r="B112" s="14">
        <v>81705</v>
      </c>
      <c r="C112" s="14">
        <v>107</v>
      </c>
      <c r="D112" s="15" t="s">
        <v>165</v>
      </c>
      <c r="E112" s="15" t="s">
        <v>31</v>
      </c>
      <c r="F112" s="14">
        <v>4</v>
      </c>
      <c r="G112" s="15" t="s">
        <v>16</v>
      </c>
      <c r="H112" s="15">
        <v>53.17</v>
      </c>
      <c r="I112" s="15" t="s">
        <v>220</v>
      </c>
      <c r="J112" s="15"/>
      <c r="K112" s="16">
        <v>0</v>
      </c>
      <c r="N112">
        <f t="shared" si="12"/>
        <v>81705</v>
      </c>
      <c r="O112">
        <f>IF(AND(A112&gt;0,A112&lt;999),IFERROR(VLOOKUP(results0120[[#This Row],[Card]],U14M[],1,FALSE),0),0)</f>
        <v>0</v>
      </c>
      <c r="P112">
        <f t="shared" si="13"/>
        <v>999</v>
      </c>
      <c r="Q112">
        <f t="shared" si="14"/>
        <v>58</v>
      </c>
      <c r="R112">
        <f t="shared" si="15"/>
        <v>999</v>
      </c>
    </row>
    <row r="113" spans="1:18" x14ac:dyDescent="0.25">
      <c r="A113" s="6">
        <v>999</v>
      </c>
      <c r="B113" s="7">
        <v>84692</v>
      </c>
      <c r="C113" s="7">
        <v>40</v>
      </c>
      <c r="D113" s="8" t="s">
        <v>173</v>
      </c>
      <c r="E113" s="8" t="s">
        <v>22</v>
      </c>
      <c r="F113" s="7">
        <v>4</v>
      </c>
      <c r="G113" s="8" t="s">
        <v>16</v>
      </c>
      <c r="H113" s="8">
        <v>53.88</v>
      </c>
      <c r="I113" s="8" t="s">
        <v>878</v>
      </c>
      <c r="J113" s="8"/>
      <c r="K113" s="9">
        <v>0</v>
      </c>
      <c r="N113">
        <f t="shared" si="12"/>
        <v>84692</v>
      </c>
      <c r="O113">
        <f>IF(AND(A113&gt;0,A113&lt;999),IFERROR(VLOOKUP(results0120[[#This Row],[Card]],U14M[],1,FALSE),0),0)</f>
        <v>0</v>
      </c>
      <c r="P113">
        <f t="shared" si="13"/>
        <v>999</v>
      </c>
      <c r="Q113">
        <f t="shared" si="14"/>
        <v>63</v>
      </c>
      <c r="R113">
        <f t="shared" si="15"/>
        <v>999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4"/>
  <sheetViews>
    <sheetView workbookViewId="0">
      <selection activeCell="E2" sqref="E2"/>
    </sheetView>
  </sheetViews>
  <sheetFormatPr defaultRowHeight="15" x14ac:dyDescent="0.25"/>
  <cols>
    <col min="2" max="2" width="23" customWidth="1"/>
    <col min="3" max="3" width="6.28515625" customWidth="1"/>
    <col min="4" max="4" width="7" bestFit="1" customWidth="1"/>
    <col min="5" max="5" width="11" bestFit="1" customWidth="1"/>
    <col min="6" max="6" width="10.42578125" bestFit="1" customWidth="1"/>
    <col min="7" max="7" width="10.7109375" bestFit="1" customWidth="1"/>
  </cols>
  <sheetData>
    <row r="1" spans="1:23" ht="14.45" x14ac:dyDescent="0.3">
      <c r="H1" s="38" t="s">
        <v>472</v>
      </c>
      <c r="I1" s="38"/>
      <c r="J1" s="38" t="s">
        <v>475</v>
      </c>
      <c r="K1" s="38"/>
      <c r="L1" s="38" t="s">
        <v>720</v>
      </c>
      <c r="M1" s="38"/>
      <c r="N1" s="38" t="s">
        <v>810</v>
      </c>
      <c r="O1" s="38"/>
      <c r="P1" s="38" t="s">
        <v>879</v>
      </c>
      <c r="Q1" s="38"/>
      <c r="R1" s="34" t="s">
        <v>331</v>
      </c>
      <c r="S1" s="34" t="s">
        <v>391</v>
      </c>
      <c r="T1" s="34" t="s">
        <v>392</v>
      </c>
      <c r="U1" s="34" t="s">
        <v>331</v>
      </c>
      <c r="V1" s="34" t="s">
        <v>391</v>
      </c>
      <c r="W1" s="34" t="s">
        <v>392</v>
      </c>
    </row>
    <row r="2" spans="1:23" ht="14.45" x14ac:dyDescent="0.3">
      <c r="H2" s="4" t="s">
        <v>228</v>
      </c>
      <c r="I2" s="4" t="s">
        <v>229</v>
      </c>
      <c r="J2" s="4" t="s">
        <v>228</v>
      </c>
      <c r="K2" s="4" t="s">
        <v>229</v>
      </c>
      <c r="L2" s="4" t="s">
        <v>228</v>
      </c>
      <c r="M2" s="4" t="s">
        <v>229</v>
      </c>
      <c r="N2" s="4" t="s">
        <v>228</v>
      </c>
      <c r="O2" s="4" t="s">
        <v>229</v>
      </c>
      <c r="P2" s="4" t="s">
        <v>228</v>
      </c>
      <c r="Q2" s="4" t="s">
        <v>229</v>
      </c>
      <c r="R2" s="4" t="s">
        <v>228</v>
      </c>
      <c r="S2" s="4" t="s">
        <v>228</v>
      </c>
      <c r="T2" s="4" t="s">
        <v>228</v>
      </c>
      <c r="U2" s="4" t="s">
        <v>229</v>
      </c>
      <c r="V2" s="4" t="s">
        <v>229</v>
      </c>
      <c r="W2" s="4" t="s">
        <v>229</v>
      </c>
    </row>
    <row r="3" spans="1:23" ht="14.45" x14ac:dyDescent="0.3">
      <c r="A3" t="s">
        <v>3</v>
      </c>
      <c r="B3" t="s">
        <v>4</v>
      </c>
      <c r="C3" t="s">
        <v>7</v>
      </c>
      <c r="D3" t="s">
        <v>5</v>
      </c>
      <c r="E3" t="s">
        <v>636</v>
      </c>
      <c r="F3" s="36" t="s">
        <v>637</v>
      </c>
      <c r="G3" s="36" t="s">
        <v>727</v>
      </c>
      <c r="H3" s="33" t="s">
        <v>473</v>
      </c>
      <c r="I3" s="33" t="s">
        <v>474</v>
      </c>
      <c r="J3" s="33" t="s">
        <v>539</v>
      </c>
      <c r="K3" s="33" t="s">
        <v>540</v>
      </c>
      <c r="L3" s="33" t="s">
        <v>725</v>
      </c>
      <c r="M3" s="33" t="s">
        <v>726</v>
      </c>
      <c r="N3" s="33" t="s">
        <v>811</v>
      </c>
      <c r="O3" s="33" t="s">
        <v>812</v>
      </c>
      <c r="P3" s="33" t="s">
        <v>880</v>
      </c>
      <c r="Q3" s="33" t="s">
        <v>881</v>
      </c>
      <c r="R3" s="3" t="s">
        <v>332</v>
      </c>
      <c r="S3" s="3" t="s">
        <v>389</v>
      </c>
      <c r="T3" s="33" t="s">
        <v>393</v>
      </c>
      <c r="U3" s="3" t="s">
        <v>333</v>
      </c>
      <c r="V3" s="3" t="s">
        <v>390</v>
      </c>
      <c r="W3" s="3" t="s">
        <v>394</v>
      </c>
    </row>
    <row r="4" spans="1:23" ht="14.45" x14ac:dyDescent="0.3">
      <c r="A4">
        <v>78517</v>
      </c>
      <c r="B4" t="s">
        <v>14</v>
      </c>
      <c r="C4" t="s">
        <v>15</v>
      </c>
      <c r="D4">
        <v>4</v>
      </c>
      <c r="E4" s="5">
        <f>SUM(LARGE(U4:W4,{1,2}))</f>
        <v>800</v>
      </c>
      <c r="F4" s="5">
        <f>MAX(U14Mcombined[[#This Row],[pts0119]],U14Mcombined[[#This Row],[pts0118]],U14Mcombined[[#This Row],[pts0120]])</f>
        <v>500</v>
      </c>
      <c r="G4" s="5">
        <f>MAX(U14Mcombined[[#This Row],[pts0117]],U14Mcombined[[#This Row],[pts0123]])</f>
        <v>400</v>
      </c>
      <c r="H4" s="5">
        <f>IFERROR(VLOOKUP(U14Mcombined[[#This Row],[Card]],results0117[],3,FALSE),999)</f>
        <v>999</v>
      </c>
      <c r="I4" s="5">
        <f>VLOOKUP(U14Mcombined[[#This Row],[pos0117]],pointstable[],2,FALSE)</f>
        <v>0</v>
      </c>
      <c r="J4" s="5">
        <f>IFERROR(VLOOKUP(U14Mcombined[[#This Row],[Card]],results0119[],3,FALSE),999)</f>
        <v>1</v>
      </c>
      <c r="K4" s="5">
        <f>VLOOKUP(U14Mcombined[[#This Row],[pos0119]],pointstable[],2,FALSE)</f>
        <v>500</v>
      </c>
      <c r="L4" s="5">
        <f>IFERROR(VLOOKUP(U14Mcombined[[#This Row],[Card]],results0118[],3,FALSE),999)</f>
        <v>999</v>
      </c>
      <c r="M4" s="5">
        <f>VLOOKUP(U14Mcombined[[#This Row],[pos0118]],pointstable[],2,FALSE)</f>
        <v>0</v>
      </c>
      <c r="N4" s="5">
        <f>IFERROR(VLOOKUP(U14Mcombined[[#This Row],[Card]],results0123[],3,FALSE),999)</f>
        <v>2</v>
      </c>
      <c r="O4" s="5">
        <f>VLOOKUP(U14Mcombined[[#This Row],[pos0123]],pointstable[],2,FALSE)</f>
        <v>400</v>
      </c>
      <c r="P4" s="5">
        <f>IFERROR(VLOOKUP(U14Mcombined[[#This Row],[Card]],results0120[],3,FALSE),999)</f>
        <v>3</v>
      </c>
      <c r="Q4" s="5">
        <f>VLOOKUP(U14Mcombined[[#This Row],[pos0120]],pointstable[],2,FALSE)</f>
        <v>300</v>
      </c>
      <c r="R4" s="5">
        <f>IFERROR(VLOOKUP(U14Mcombined[[#This Row],[Card]],results0124[],3,FALSE),999)</f>
        <v>3</v>
      </c>
      <c r="S4" s="5">
        <f>IFERROR(VLOOKUP(U14Mcombined[[#This Row],[Card]],results0140[],3,FALSE),999)</f>
        <v>999</v>
      </c>
      <c r="T4" s="5">
        <f>IFERROR(VLOOKUP(U14Mcombined[[#This Row],[Card]],results0125[],3,FALSE),999)</f>
        <v>1</v>
      </c>
      <c r="U4" s="5">
        <f>VLOOKUP(U14Mcombined[[#This Row],[pos0124]],pointstable[],2,FALSE)</f>
        <v>300</v>
      </c>
      <c r="V4" s="5">
        <f>VLOOKUP(U14Mcombined[[#This Row],[pos0140]],pointstable[],2,FALSE)</f>
        <v>0</v>
      </c>
      <c r="W4" s="5">
        <f>VLOOKUP(U14Mcombined[[#This Row],[pos0125]],pointstable[],2,FALSE)</f>
        <v>500</v>
      </c>
    </row>
    <row r="5" spans="1:23" ht="14.45" x14ac:dyDescent="0.3">
      <c r="A5">
        <v>80698</v>
      </c>
      <c r="B5" t="s">
        <v>30</v>
      </c>
      <c r="C5" t="s">
        <v>31</v>
      </c>
      <c r="D5">
        <v>4</v>
      </c>
      <c r="E5" s="5">
        <f>SUM(LARGE(U5:W5,{1,2}))</f>
        <v>800</v>
      </c>
      <c r="F5" s="5">
        <f>MAX(U14Mcombined[[#This Row],[pts0119]],U14Mcombined[[#This Row],[pts0118]],U14Mcombined[[#This Row],[pts0120]])</f>
        <v>200</v>
      </c>
      <c r="G5" s="5">
        <f>MAX(U14Mcombined[[#This Row],[pts0117]],U14Mcombined[[#This Row],[pts0123]])</f>
        <v>0</v>
      </c>
      <c r="H5" s="5">
        <f>IFERROR(VLOOKUP(U14Mcombined[[#This Row],[Card]],results0117[],3,FALSE),999)</f>
        <v>999</v>
      </c>
      <c r="I5" s="5">
        <f>VLOOKUP(U14Mcombined[[#This Row],[pos0117]],pointstable[],2,FALSE)</f>
        <v>0</v>
      </c>
      <c r="J5" s="5">
        <f>IFERROR(VLOOKUP(U14Mcombined[[#This Row],[Card]],results0119[],3,FALSE),999)</f>
        <v>6</v>
      </c>
      <c r="K5" s="5">
        <f>VLOOKUP(U14Mcombined[[#This Row],[pos0119]],pointstable[],2,FALSE)</f>
        <v>200</v>
      </c>
      <c r="L5" s="5">
        <f>IFERROR(VLOOKUP(U14Mcombined[[#This Row],[Card]],results0118[],3,FALSE),999)</f>
        <v>19</v>
      </c>
      <c r="M5" s="5">
        <f>VLOOKUP(U14Mcombined[[#This Row],[pos0118]],pointstable[],2,FALSE)</f>
        <v>60</v>
      </c>
      <c r="N5" s="5">
        <f>IFERROR(VLOOKUP(U14Mcombined[[#This Row],[Card]],results0123[],3,FALSE),999)</f>
        <v>999</v>
      </c>
      <c r="O5" s="5">
        <f>VLOOKUP(U14Mcombined[[#This Row],[pos0123]],pointstable[],2,FALSE)</f>
        <v>0</v>
      </c>
      <c r="P5" s="5">
        <f>IFERROR(VLOOKUP(U14Mcombined[[#This Row],[Card]],results0120[],3,FALSE),999)</f>
        <v>999</v>
      </c>
      <c r="Q5" s="5">
        <f>VLOOKUP(U14Mcombined[[#This Row],[pos0120]],pointstable[],2,FALSE)</f>
        <v>0</v>
      </c>
      <c r="R5" s="5">
        <f>IFERROR(VLOOKUP(U14Mcombined[[#This Row],[Card]],results0124[],3,FALSE),999)</f>
        <v>1</v>
      </c>
      <c r="S5" s="5">
        <f>IFERROR(VLOOKUP(U14Mcombined[[#This Row],[Card]],results0140[],3,FALSE),999)</f>
        <v>999</v>
      </c>
      <c r="T5" s="5">
        <f>IFERROR(VLOOKUP(U14Mcombined[[#This Row],[Card]],results0125[],3,FALSE),999)</f>
        <v>3</v>
      </c>
      <c r="U5" s="5">
        <f>VLOOKUP(U14Mcombined[[#This Row],[pos0124]],pointstable[],2,FALSE)</f>
        <v>500</v>
      </c>
      <c r="V5" s="5">
        <f>VLOOKUP(U14Mcombined[[#This Row],[pos0140]],pointstable[],2,FALSE)</f>
        <v>0</v>
      </c>
      <c r="W5" s="5">
        <f>VLOOKUP(U14Mcombined[[#This Row],[pos0125]],pointstable[],2,FALSE)</f>
        <v>300</v>
      </c>
    </row>
    <row r="6" spans="1:23" ht="14.45" x14ac:dyDescent="0.3">
      <c r="A6">
        <v>80713</v>
      </c>
      <c r="B6" t="s">
        <v>21</v>
      </c>
      <c r="C6" t="s">
        <v>22</v>
      </c>
      <c r="D6">
        <v>4</v>
      </c>
      <c r="E6" s="5">
        <f>SUM(LARGE(U6:W6,{1,2}))</f>
        <v>450</v>
      </c>
      <c r="F6" s="5">
        <f>MAX(U14Mcombined[[#This Row],[pts0119]],U14Mcombined[[#This Row],[pts0118]],U14Mcombined[[#This Row],[pts0120]])</f>
        <v>400</v>
      </c>
      <c r="G6" s="5">
        <f>MAX(U14Mcombined[[#This Row],[pts0117]],U14Mcombined[[#This Row],[pts0123]])</f>
        <v>200</v>
      </c>
      <c r="H6" s="5">
        <f>IFERROR(VLOOKUP(U14Mcombined[[#This Row],[Card]],results0117[],3,FALSE),999)</f>
        <v>999</v>
      </c>
      <c r="I6" s="5">
        <f>VLOOKUP(U14Mcombined[[#This Row],[pos0117]],pointstable[],2,FALSE)</f>
        <v>0</v>
      </c>
      <c r="J6" s="5">
        <f>IFERROR(VLOOKUP(U14Mcombined[[#This Row],[Card]],results0119[],3,FALSE),999)</f>
        <v>2</v>
      </c>
      <c r="K6" s="5">
        <f>VLOOKUP(U14Mcombined[[#This Row],[pos0119]],pointstable[],2,FALSE)</f>
        <v>400</v>
      </c>
      <c r="L6" s="5">
        <f>IFERROR(VLOOKUP(U14Mcombined[[#This Row],[Card]],results0118[],3,FALSE),999)</f>
        <v>5</v>
      </c>
      <c r="M6" s="5">
        <f>VLOOKUP(U14Mcombined[[#This Row],[pos0118]],pointstable[],2,FALSE)</f>
        <v>225</v>
      </c>
      <c r="N6" s="5">
        <f>IFERROR(VLOOKUP(U14Mcombined[[#This Row],[Card]],results0123[],3,FALSE),999)</f>
        <v>6</v>
      </c>
      <c r="O6" s="5">
        <f>VLOOKUP(U14Mcombined[[#This Row],[pos0123]],pointstable[],2,FALSE)</f>
        <v>200</v>
      </c>
      <c r="P6" s="5">
        <f>IFERROR(VLOOKUP(U14Mcombined[[#This Row],[Card]],results0120[],3,FALSE),999)</f>
        <v>999</v>
      </c>
      <c r="Q6" s="5">
        <f>VLOOKUP(U14Mcombined[[#This Row],[pos0120]],pointstable[],2,FALSE)</f>
        <v>0</v>
      </c>
      <c r="R6" s="5">
        <f>IFERROR(VLOOKUP(U14Mcombined[[#This Row],[Card]],results0124[],3,FALSE),999)</f>
        <v>6</v>
      </c>
      <c r="S6" s="5">
        <f>IFERROR(VLOOKUP(U14Mcombined[[#This Row],[Card]],results0140[],3,FALSE),999)</f>
        <v>999</v>
      </c>
      <c r="T6" s="5">
        <f>IFERROR(VLOOKUP(U14Mcombined[[#This Row],[Card]],results0125[],3,FALSE),999)</f>
        <v>4</v>
      </c>
      <c r="U6" s="5">
        <f>VLOOKUP(U14Mcombined[[#This Row],[pos0124]],pointstable[],2,FALSE)</f>
        <v>200</v>
      </c>
      <c r="V6" s="5">
        <f>VLOOKUP(U14Mcombined[[#This Row],[pos0140]],pointstable[],2,FALSE)</f>
        <v>0</v>
      </c>
      <c r="W6" s="5">
        <f>VLOOKUP(U14Mcombined[[#This Row],[pos0125]],pointstable[],2,FALSE)</f>
        <v>250</v>
      </c>
    </row>
    <row r="7" spans="1:23" ht="14.45" x14ac:dyDescent="0.3">
      <c r="A7">
        <v>80621</v>
      </c>
      <c r="B7" t="s">
        <v>18</v>
      </c>
      <c r="C7" t="s">
        <v>19</v>
      </c>
      <c r="D7">
        <v>4</v>
      </c>
      <c r="E7" s="5">
        <f>SUM(LARGE(U7:W7,{1,2}))</f>
        <v>300</v>
      </c>
      <c r="F7" s="5">
        <f>MAX(U14Mcombined[[#This Row],[pts0119]],U14Mcombined[[#This Row],[pts0118]],U14Mcombined[[#This Row],[pts0120]])</f>
        <v>145</v>
      </c>
      <c r="G7" s="5">
        <f>MAX(U14Mcombined[[#This Row],[pts0117]],U14Mcombined[[#This Row],[pts0123]])</f>
        <v>55</v>
      </c>
      <c r="H7" s="5">
        <f>IFERROR(VLOOKUP(U14Mcombined[[#This Row],[Card]],results0117[],3,FALSE),999)</f>
        <v>20</v>
      </c>
      <c r="I7" s="5">
        <f>VLOOKUP(U14Mcombined[[#This Row],[pos0117]],pointstable[],2,FALSE)</f>
        <v>55</v>
      </c>
      <c r="J7" s="5">
        <f>IFERROR(VLOOKUP(U14Mcombined[[#This Row],[Card]],results0119[],3,FALSE),999)</f>
        <v>16</v>
      </c>
      <c r="K7" s="5">
        <f>VLOOKUP(U14Mcombined[[#This Row],[pos0119]],pointstable[],2,FALSE)</f>
        <v>75</v>
      </c>
      <c r="L7" s="5">
        <f>IFERROR(VLOOKUP(U14Mcombined[[#This Row],[Card]],results0118[],3,FALSE),999)</f>
        <v>9</v>
      </c>
      <c r="M7" s="5">
        <f>VLOOKUP(U14Mcombined[[#This Row],[pos0118]],pointstable[],2,FALSE)</f>
        <v>145</v>
      </c>
      <c r="N7" s="5">
        <f>IFERROR(VLOOKUP(U14Mcombined[[#This Row],[Card]],results0123[],3,FALSE),999)</f>
        <v>999</v>
      </c>
      <c r="O7" s="5">
        <f>VLOOKUP(U14Mcombined[[#This Row],[pos0123]],pointstable[],2,FALSE)</f>
        <v>0</v>
      </c>
      <c r="P7" s="5">
        <f>IFERROR(VLOOKUP(U14Mcombined[[#This Row],[Card]],results0120[],3,FALSE),999)</f>
        <v>999</v>
      </c>
      <c r="Q7" s="5">
        <f>VLOOKUP(U14Mcombined[[#This Row],[pos0120]],pointstable[],2,FALSE)</f>
        <v>0</v>
      </c>
      <c r="R7" s="5">
        <f>IFERROR(VLOOKUP(U14Mcombined[[#This Row],[Card]],results0124[],3,FALSE),999)</f>
        <v>7</v>
      </c>
      <c r="S7" s="5">
        <f>IFERROR(VLOOKUP(U14Mcombined[[#This Row],[Card]],results0140[],3,FALSE),999)</f>
        <v>999</v>
      </c>
      <c r="T7" s="5">
        <f>IFERROR(VLOOKUP(U14Mcombined[[#This Row],[Card]],results0125[],3,FALSE),999)</f>
        <v>11</v>
      </c>
      <c r="U7" s="5">
        <f>VLOOKUP(U14Mcombined[[#This Row],[pos0124]],pointstable[],2,FALSE)</f>
        <v>180</v>
      </c>
      <c r="V7" s="5">
        <f>VLOOKUP(U14Mcombined[[#This Row],[pos0140]],pointstable[],2,FALSE)</f>
        <v>0</v>
      </c>
      <c r="W7" s="5">
        <f>VLOOKUP(U14Mcombined[[#This Row],[pos0125]],pointstable[],2,FALSE)</f>
        <v>120</v>
      </c>
    </row>
    <row r="8" spans="1:23" ht="14.45" x14ac:dyDescent="0.3">
      <c r="A8">
        <v>81073</v>
      </c>
      <c r="B8" t="s">
        <v>40</v>
      </c>
      <c r="C8" t="s">
        <v>15</v>
      </c>
      <c r="D8">
        <v>4</v>
      </c>
      <c r="E8" s="5">
        <f>SUM(LARGE(U8:W8,{1,2}))</f>
        <v>560</v>
      </c>
      <c r="F8" s="5">
        <f>MAX(U14Mcombined[[#This Row],[pts0119]],U14Mcombined[[#This Row],[pts0118]],U14Mcombined[[#This Row],[pts0120]])</f>
        <v>300</v>
      </c>
      <c r="G8" s="5">
        <f>MAX(U14Mcombined[[#This Row],[pts0117]],U14Mcombined[[#This Row],[pts0123]])</f>
        <v>500</v>
      </c>
      <c r="H8" s="5">
        <f>IFERROR(VLOOKUP(U14Mcombined[[#This Row],[Card]],results0117[],3,FALSE),999)</f>
        <v>1</v>
      </c>
      <c r="I8" s="5">
        <f>VLOOKUP(U14Mcombined[[#This Row],[pos0117]],pointstable[],2,FALSE)</f>
        <v>500</v>
      </c>
      <c r="J8" s="5">
        <f>IFERROR(VLOOKUP(U14Mcombined[[#This Row],[Card]],results0119[],3,FALSE),999)</f>
        <v>4</v>
      </c>
      <c r="K8" s="5">
        <f>VLOOKUP(U14Mcombined[[#This Row],[pos0119]],pointstable[],2,FALSE)</f>
        <v>250</v>
      </c>
      <c r="L8" s="5">
        <f>IFERROR(VLOOKUP(U14Mcombined[[#This Row],[Card]],results0118[],3,FALSE),999)</f>
        <v>3</v>
      </c>
      <c r="M8" s="5">
        <f>VLOOKUP(U14Mcombined[[#This Row],[pos0118]],pointstable[],2,FALSE)</f>
        <v>300</v>
      </c>
      <c r="N8" s="5">
        <f>IFERROR(VLOOKUP(U14Mcombined[[#This Row],[Card]],results0123[],3,FALSE),999)</f>
        <v>8</v>
      </c>
      <c r="O8" s="5">
        <f>VLOOKUP(U14Mcombined[[#This Row],[pos0123]],pointstable[],2,FALSE)</f>
        <v>160</v>
      </c>
      <c r="P8" s="5">
        <f>IFERROR(VLOOKUP(U14Mcombined[[#This Row],[Card]],results0120[],3,FALSE),999)</f>
        <v>4</v>
      </c>
      <c r="Q8" s="5">
        <f>VLOOKUP(U14Mcombined[[#This Row],[pos0120]],pointstable[],2,FALSE)</f>
        <v>250</v>
      </c>
      <c r="R8" s="5">
        <f>IFERROR(VLOOKUP(U14Mcombined[[#This Row],[Card]],results0124[],3,FALSE),999)</f>
        <v>2</v>
      </c>
      <c r="S8" s="5">
        <f>IFERROR(VLOOKUP(U14Mcombined[[#This Row],[Card]],results0140[],3,FALSE),999)</f>
        <v>999</v>
      </c>
      <c r="T8" s="5">
        <f>IFERROR(VLOOKUP(U14Mcombined[[#This Row],[Card]],results0125[],3,FALSE),999)</f>
        <v>8</v>
      </c>
      <c r="U8" s="5">
        <f>VLOOKUP(U14Mcombined[[#This Row],[pos0124]],pointstable[],2,FALSE)</f>
        <v>400</v>
      </c>
      <c r="V8" s="5">
        <f>VLOOKUP(U14Mcombined[[#This Row],[pos0140]],pointstable[],2,FALSE)</f>
        <v>0</v>
      </c>
      <c r="W8" s="5">
        <f>VLOOKUP(U14Mcombined[[#This Row],[pos0125]],pointstable[],2,FALSE)</f>
        <v>160</v>
      </c>
    </row>
    <row r="9" spans="1:23" ht="14.45" x14ac:dyDescent="0.3">
      <c r="A9">
        <v>75018</v>
      </c>
      <c r="B9" t="s">
        <v>60</v>
      </c>
      <c r="C9" t="s">
        <v>61</v>
      </c>
      <c r="D9">
        <v>4</v>
      </c>
      <c r="E9" s="5">
        <f>SUM(LARGE(U9:W9,{1,2}))</f>
        <v>555</v>
      </c>
      <c r="F9" s="5">
        <f>MAX(U14Mcombined[[#This Row],[pts0119]],U14Mcombined[[#This Row],[pts0118]],U14Mcombined[[#This Row],[pts0120]])</f>
        <v>200</v>
      </c>
      <c r="G9" s="5">
        <f>MAX(U14Mcombined[[#This Row],[pts0117]],U14Mcombined[[#This Row],[pts0123]])</f>
        <v>120</v>
      </c>
      <c r="H9" s="5">
        <f>IFERROR(VLOOKUP(U14Mcombined[[#This Row],[Card]],results0117[],3,FALSE),999)</f>
        <v>11</v>
      </c>
      <c r="I9" s="5">
        <f>VLOOKUP(U14Mcombined[[#This Row],[pos0117]],pointstable[],2,FALSE)</f>
        <v>120</v>
      </c>
      <c r="J9" s="5">
        <f>IFERROR(VLOOKUP(U14Mcombined[[#This Row],[Card]],results0119[],3,FALSE),999)</f>
        <v>999</v>
      </c>
      <c r="K9" s="5">
        <f>VLOOKUP(U14Mcombined[[#This Row],[pos0119]],pointstable[],2,FALSE)</f>
        <v>0</v>
      </c>
      <c r="L9" s="5">
        <f>IFERROR(VLOOKUP(U14Mcombined[[#This Row],[Card]],results0118[],3,FALSE),999)</f>
        <v>24</v>
      </c>
      <c r="M9" s="5">
        <f>VLOOKUP(U14Mcombined[[#This Row],[pos0118]],pointstable[],2,FALSE)</f>
        <v>41</v>
      </c>
      <c r="N9" s="5">
        <f>IFERROR(VLOOKUP(U14Mcombined[[#This Row],[Card]],results0123[],3,FALSE),999)</f>
        <v>999</v>
      </c>
      <c r="O9" s="5">
        <f>VLOOKUP(U14Mcombined[[#This Row],[pos0123]],pointstable[],2,FALSE)</f>
        <v>0</v>
      </c>
      <c r="P9" s="5">
        <f>IFERROR(VLOOKUP(U14Mcombined[[#This Row],[Card]],results0120[],3,FALSE),999)</f>
        <v>6</v>
      </c>
      <c r="Q9" s="5">
        <f>VLOOKUP(U14Mcombined[[#This Row],[pos0120]],pointstable[],2,FALSE)</f>
        <v>200</v>
      </c>
      <c r="R9" s="5">
        <f>IFERROR(VLOOKUP(U14Mcombined[[#This Row],[Card]],results0124[],3,FALSE),999)</f>
        <v>20</v>
      </c>
      <c r="S9" s="5">
        <f>IFERROR(VLOOKUP(U14Mcombined[[#This Row],[Card]],results0140[],3,FALSE),999)</f>
        <v>1</v>
      </c>
      <c r="T9" s="5">
        <f>IFERROR(VLOOKUP(U14Mcombined[[#This Row],[Card]],results0125[],3,FALSE),999)</f>
        <v>20</v>
      </c>
      <c r="U9" s="5">
        <f>VLOOKUP(U14Mcombined[[#This Row],[pos0124]],pointstable[],2,FALSE)</f>
        <v>55</v>
      </c>
      <c r="V9" s="5">
        <f>VLOOKUP(U14Mcombined[[#This Row],[pos0140]],pointstable[],2,FALSE)</f>
        <v>500</v>
      </c>
      <c r="W9" s="5">
        <f>VLOOKUP(U14Mcombined[[#This Row],[pos0125]],pointstable[],2,FALSE)</f>
        <v>55</v>
      </c>
    </row>
    <row r="10" spans="1:23" ht="14.45" x14ac:dyDescent="0.3">
      <c r="A10">
        <v>80680</v>
      </c>
      <c r="B10" t="s">
        <v>28</v>
      </c>
      <c r="C10" t="s">
        <v>15</v>
      </c>
      <c r="D10">
        <v>4</v>
      </c>
      <c r="E10" s="5">
        <f>SUM(LARGE(U10:W10,{1,2}))</f>
        <v>430</v>
      </c>
      <c r="F10" s="5">
        <f>MAX(U14Mcombined[[#This Row],[pts0119]],U14Mcombined[[#This Row],[pts0118]],U14Mcombined[[#This Row],[pts0120]])</f>
        <v>400</v>
      </c>
      <c r="G10" s="5">
        <f>MAX(U14Mcombined[[#This Row],[pts0117]],U14Mcombined[[#This Row],[pts0123]])</f>
        <v>400</v>
      </c>
      <c r="H10" s="5">
        <f>IFERROR(VLOOKUP(U14Mcombined[[#This Row],[Card]],results0117[],3,FALSE),999)</f>
        <v>2</v>
      </c>
      <c r="I10" s="5">
        <f>VLOOKUP(U14Mcombined[[#This Row],[pos0117]],pointstable[],2,FALSE)</f>
        <v>400</v>
      </c>
      <c r="J10" s="5">
        <f>IFERROR(VLOOKUP(U14Mcombined[[#This Row],[Card]],results0119[],3,FALSE),999)</f>
        <v>999</v>
      </c>
      <c r="K10" s="5">
        <f>VLOOKUP(U14Mcombined[[#This Row],[pos0119]],pointstable[],2,FALSE)</f>
        <v>0</v>
      </c>
      <c r="L10" s="5">
        <f>IFERROR(VLOOKUP(U14Mcombined[[#This Row],[Card]],results0118[],3,FALSE),999)</f>
        <v>2</v>
      </c>
      <c r="M10" s="5">
        <f>VLOOKUP(U14Mcombined[[#This Row],[pos0118]],pointstable[],2,FALSE)</f>
        <v>400</v>
      </c>
      <c r="N10" s="5">
        <f>IFERROR(VLOOKUP(U14Mcombined[[#This Row],[Card]],results0123[],3,FALSE),999)</f>
        <v>3</v>
      </c>
      <c r="O10" s="5">
        <f>VLOOKUP(U14Mcombined[[#This Row],[pos0123]],pointstable[],2,FALSE)</f>
        <v>300</v>
      </c>
      <c r="P10" s="5">
        <f>IFERROR(VLOOKUP(U14Mcombined[[#This Row],[Card]],results0120[],3,FALSE),999)</f>
        <v>2</v>
      </c>
      <c r="Q10" s="5">
        <f>VLOOKUP(U14Mcombined[[#This Row],[pos0120]],pointstable[],2,FALSE)</f>
        <v>400</v>
      </c>
      <c r="R10" s="5">
        <f>IFERROR(VLOOKUP(U14Mcombined[[#This Row],[Card]],results0124[],3,FALSE),999)</f>
        <v>4</v>
      </c>
      <c r="S10" s="5">
        <f>IFERROR(VLOOKUP(U14Mcombined[[#This Row],[Card]],results0140[],3,FALSE),999)</f>
        <v>999</v>
      </c>
      <c r="T10" s="5">
        <f>IFERROR(VLOOKUP(U14Mcombined[[#This Row],[Card]],results0125[],3,FALSE),999)</f>
        <v>7</v>
      </c>
      <c r="U10" s="5">
        <f>VLOOKUP(U14Mcombined[[#This Row],[pos0124]],pointstable[],2,FALSE)</f>
        <v>250</v>
      </c>
      <c r="V10" s="5">
        <f>VLOOKUP(U14Mcombined[[#This Row],[pos0140]],pointstable[],2,FALSE)</f>
        <v>0</v>
      </c>
      <c r="W10" s="5">
        <f>VLOOKUP(U14Mcombined[[#This Row],[pos0125]],pointstable[],2,FALSE)</f>
        <v>180</v>
      </c>
    </row>
    <row r="11" spans="1:23" ht="14.45" x14ac:dyDescent="0.3">
      <c r="A11">
        <v>80709</v>
      </c>
      <c r="B11" t="s">
        <v>24</v>
      </c>
      <c r="C11" t="s">
        <v>22</v>
      </c>
      <c r="D11">
        <v>5</v>
      </c>
      <c r="E11" s="5">
        <f>SUM(LARGE(U11:W11,{1,2}))</f>
        <v>345</v>
      </c>
      <c r="F11" s="5">
        <f>MAX(U14Mcombined[[#This Row],[pts0119]],U14Mcombined[[#This Row],[pts0118]],U14Mcombined[[#This Row],[pts0120]])</f>
        <v>225</v>
      </c>
      <c r="G11" s="5">
        <f>MAX(U14Mcombined[[#This Row],[pts0117]],U14Mcombined[[#This Row],[pts0123]])</f>
        <v>250</v>
      </c>
      <c r="H11" s="5">
        <f>IFERROR(VLOOKUP(U14Mcombined[[#This Row],[Card]],results0117[],3,FALSE),999)</f>
        <v>4</v>
      </c>
      <c r="I11" s="5">
        <f>VLOOKUP(U14Mcombined[[#This Row],[pos0117]],pointstable[],2,FALSE)</f>
        <v>250</v>
      </c>
      <c r="J11" s="5">
        <f>IFERROR(VLOOKUP(U14Mcombined[[#This Row],[Card]],results0119[],3,FALSE),999)</f>
        <v>999</v>
      </c>
      <c r="K11" s="5">
        <f>VLOOKUP(U14Mcombined[[#This Row],[pos0119]],pointstable[],2,FALSE)</f>
        <v>0</v>
      </c>
      <c r="L11" s="5">
        <f>IFERROR(VLOOKUP(U14Mcombined[[#This Row],[Card]],results0118[],3,FALSE),999)</f>
        <v>11</v>
      </c>
      <c r="M11" s="5">
        <f>VLOOKUP(U14Mcombined[[#This Row],[pos0118]],pointstable[],2,FALSE)</f>
        <v>120</v>
      </c>
      <c r="N11" s="5">
        <f>IFERROR(VLOOKUP(U14Mcombined[[#This Row],[Card]],results0123[],3,FALSE),999)</f>
        <v>999</v>
      </c>
      <c r="O11" s="5">
        <f>VLOOKUP(U14Mcombined[[#This Row],[pos0123]],pointstable[],2,FALSE)</f>
        <v>0</v>
      </c>
      <c r="P11" s="5">
        <f>IFERROR(VLOOKUP(U14Mcombined[[#This Row],[Card]],results0120[],3,FALSE),999)</f>
        <v>5</v>
      </c>
      <c r="Q11" s="5">
        <f>VLOOKUP(U14Mcombined[[#This Row],[pos0120]],pointstable[],2,FALSE)</f>
        <v>225</v>
      </c>
      <c r="R11" s="5">
        <f>IFERROR(VLOOKUP(U14Mcombined[[#This Row],[Card]],results0124[],3,FALSE),999)</f>
        <v>11</v>
      </c>
      <c r="S11" s="5">
        <f>IFERROR(VLOOKUP(U14Mcombined[[#This Row],[Card]],results0140[],3,FALSE),999)</f>
        <v>999</v>
      </c>
      <c r="T11" s="5">
        <f>IFERROR(VLOOKUP(U14Mcombined[[#This Row],[Card]],results0125[],3,FALSE),999)</f>
        <v>5</v>
      </c>
      <c r="U11" s="5">
        <f>VLOOKUP(U14Mcombined[[#This Row],[pos0124]],pointstable[],2,FALSE)</f>
        <v>120</v>
      </c>
      <c r="V11" s="5">
        <f>VLOOKUP(U14Mcombined[[#This Row],[pos0140]],pointstable[],2,FALSE)</f>
        <v>0</v>
      </c>
      <c r="W11" s="5">
        <f>VLOOKUP(U14Mcombined[[#This Row],[pos0125]],pointstable[],2,FALSE)</f>
        <v>225</v>
      </c>
    </row>
    <row r="12" spans="1:23" ht="14.45" x14ac:dyDescent="0.3">
      <c r="A12">
        <v>84829</v>
      </c>
      <c r="B12" t="s">
        <v>68</v>
      </c>
      <c r="C12" t="s">
        <v>15</v>
      </c>
      <c r="D12">
        <v>5</v>
      </c>
      <c r="E12" s="5">
        <f>SUM(LARGE(U12:W12,{1,2}))</f>
        <v>430</v>
      </c>
      <c r="F12" s="5">
        <f>MAX(U14Mcombined[[#This Row],[pts0119]],U14Mcombined[[#This Row],[pts0118]],U14Mcombined[[#This Row],[pts0120]])</f>
        <v>145</v>
      </c>
      <c r="G12" s="5">
        <f>MAX(U14Mcombined[[#This Row],[pts0117]],U14Mcombined[[#This Row],[pts0123]])</f>
        <v>145</v>
      </c>
      <c r="H12" s="5">
        <f>IFERROR(VLOOKUP(U14Mcombined[[#This Row],[Card]],results0117[],3,FALSE),999)</f>
        <v>15</v>
      </c>
      <c r="I12" s="5">
        <f>VLOOKUP(U14Mcombined[[#This Row],[pos0117]],pointstable[],2,FALSE)</f>
        <v>80</v>
      </c>
      <c r="J12" s="5">
        <f>IFERROR(VLOOKUP(U14Mcombined[[#This Row],[Card]],results0119[],3,FALSE),999)</f>
        <v>15</v>
      </c>
      <c r="K12" s="5">
        <f>VLOOKUP(U14Mcombined[[#This Row],[pos0119]],pointstable[],2,FALSE)</f>
        <v>80</v>
      </c>
      <c r="L12" s="5">
        <f>IFERROR(VLOOKUP(U14Mcombined[[#This Row],[Card]],results0118[],3,FALSE),999)</f>
        <v>10</v>
      </c>
      <c r="M12" s="5">
        <f>VLOOKUP(U14Mcombined[[#This Row],[pos0118]],pointstable[],2,FALSE)</f>
        <v>130</v>
      </c>
      <c r="N12" s="5">
        <f>IFERROR(VLOOKUP(U14Mcombined[[#This Row],[Card]],results0123[],3,FALSE),999)</f>
        <v>9</v>
      </c>
      <c r="O12" s="5">
        <f>VLOOKUP(U14Mcombined[[#This Row],[pos0123]],pointstable[],2,FALSE)</f>
        <v>145</v>
      </c>
      <c r="P12" s="5">
        <f>IFERROR(VLOOKUP(U14Mcombined[[#This Row],[Card]],results0120[],3,FALSE),999)</f>
        <v>9</v>
      </c>
      <c r="Q12" s="5">
        <f>VLOOKUP(U14Mcombined[[#This Row],[pos0120]],pointstable[],2,FALSE)</f>
        <v>145</v>
      </c>
      <c r="R12" s="5">
        <f>IFERROR(VLOOKUP(U14Mcombined[[#This Row],[Card]],results0124[],3,FALSE),999)</f>
        <v>10</v>
      </c>
      <c r="S12" s="5">
        <f>IFERROR(VLOOKUP(U14Mcombined[[#This Row],[Card]],results0140[],3,FALSE),999)</f>
        <v>3</v>
      </c>
      <c r="T12" s="5">
        <f>IFERROR(VLOOKUP(U14Mcombined[[#This Row],[Card]],results0125[],3,FALSE),999)</f>
        <v>13</v>
      </c>
      <c r="U12" s="5">
        <f>VLOOKUP(U14Mcombined[[#This Row],[pos0124]],pointstable[],2,FALSE)</f>
        <v>130</v>
      </c>
      <c r="V12" s="5">
        <f>VLOOKUP(U14Mcombined[[#This Row],[pos0140]],pointstable[],2,FALSE)</f>
        <v>300</v>
      </c>
      <c r="W12" s="5">
        <f>VLOOKUP(U14Mcombined[[#This Row],[pos0125]],pointstable[],2,FALSE)</f>
        <v>100</v>
      </c>
    </row>
    <row r="13" spans="1:23" ht="14.45" x14ac:dyDescent="0.3">
      <c r="A13">
        <v>77368</v>
      </c>
      <c r="B13" t="s">
        <v>35</v>
      </c>
      <c r="C13" t="s">
        <v>15</v>
      </c>
      <c r="D13">
        <v>4</v>
      </c>
      <c r="E13" s="5">
        <f>SUM(LARGE(U13:W13,{1,2}))</f>
        <v>425</v>
      </c>
      <c r="F13" s="5">
        <f>MAX(U14Mcombined[[#This Row],[pts0119]],U14Mcombined[[#This Row],[pts0118]],U14Mcombined[[#This Row],[pts0120]])</f>
        <v>500</v>
      </c>
      <c r="G13" s="5">
        <f>MAX(U14Mcombined[[#This Row],[pts0117]],U14Mcombined[[#This Row],[pts0123]])</f>
        <v>500</v>
      </c>
      <c r="H13" s="5">
        <f>IFERROR(VLOOKUP(U14Mcombined[[#This Row],[Card]],results0117[],3,FALSE),999)</f>
        <v>12</v>
      </c>
      <c r="I13" s="5">
        <f>VLOOKUP(U14Mcombined[[#This Row],[pos0117]],pointstable[],2,FALSE)</f>
        <v>110</v>
      </c>
      <c r="J13" s="5">
        <f>IFERROR(VLOOKUP(U14Mcombined[[#This Row],[Card]],results0119[],3,FALSE),999)</f>
        <v>5</v>
      </c>
      <c r="K13" s="5">
        <f>VLOOKUP(U14Mcombined[[#This Row],[pos0119]],pointstable[],2,FALSE)</f>
        <v>225</v>
      </c>
      <c r="L13" s="5">
        <f>IFERROR(VLOOKUP(U14Mcombined[[#This Row],[Card]],results0118[],3,FALSE),999)</f>
        <v>1</v>
      </c>
      <c r="M13" s="5">
        <f>VLOOKUP(U14Mcombined[[#This Row],[pos0118]],pointstable[],2,FALSE)</f>
        <v>500</v>
      </c>
      <c r="N13" s="5">
        <f>IFERROR(VLOOKUP(U14Mcombined[[#This Row],[Card]],results0123[],3,FALSE),999)</f>
        <v>1</v>
      </c>
      <c r="O13" s="5">
        <f>VLOOKUP(U14Mcombined[[#This Row],[pos0123]],pointstable[],2,FALSE)</f>
        <v>500</v>
      </c>
      <c r="P13" s="5">
        <f>IFERROR(VLOOKUP(U14Mcombined[[#This Row],[Card]],results0120[],3,FALSE),999)</f>
        <v>1</v>
      </c>
      <c r="Q13" s="5">
        <f>VLOOKUP(U14Mcombined[[#This Row],[pos0120]],pointstable[],2,FALSE)</f>
        <v>500</v>
      </c>
      <c r="R13" s="5">
        <f>IFERROR(VLOOKUP(U14Mcombined[[#This Row],[Card]],results0124[],3,FALSE),999)</f>
        <v>5</v>
      </c>
      <c r="S13" s="5">
        <f>IFERROR(VLOOKUP(U14Mcombined[[#This Row],[Card]],results0140[],3,FALSE),999)</f>
        <v>999</v>
      </c>
      <c r="T13" s="5">
        <f>IFERROR(VLOOKUP(U14Mcombined[[#This Row],[Card]],results0125[],3,FALSE),999)</f>
        <v>6</v>
      </c>
      <c r="U13" s="5">
        <f>VLOOKUP(U14Mcombined[[#This Row],[pos0124]],pointstable[],2,FALSE)</f>
        <v>225</v>
      </c>
      <c r="V13" s="5">
        <f>VLOOKUP(U14Mcombined[[#This Row],[pos0140]],pointstable[],2,FALSE)</f>
        <v>0</v>
      </c>
      <c r="W13" s="5">
        <f>VLOOKUP(U14Mcombined[[#This Row],[pos0125]],pointstable[],2,FALSE)</f>
        <v>200</v>
      </c>
    </row>
    <row r="14" spans="1:23" ht="14.45" x14ac:dyDescent="0.3">
      <c r="A14">
        <v>82440</v>
      </c>
      <c r="B14" t="s">
        <v>56</v>
      </c>
      <c r="C14" t="s">
        <v>15</v>
      </c>
      <c r="D14">
        <v>4</v>
      </c>
      <c r="E14" s="5">
        <f>SUM(LARGE(U14:W14,{1,2}))</f>
        <v>400</v>
      </c>
      <c r="F14" s="5">
        <f>MAX(U14Mcombined[[#This Row],[pts0119]],U14Mcombined[[#This Row],[pts0118]],U14Mcombined[[#This Row],[pts0120]])</f>
        <v>160</v>
      </c>
      <c r="G14" s="5">
        <f>MAX(U14Mcombined[[#This Row],[pts0117]],U14Mcombined[[#This Row],[pts0123]])</f>
        <v>31</v>
      </c>
      <c r="H14" s="5">
        <f>IFERROR(VLOOKUP(U14Mcombined[[#This Row],[Card]],results0117[],3,FALSE),999)</f>
        <v>32</v>
      </c>
      <c r="I14" s="5">
        <f>VLOOKUP(U14Mcombined[[#This Row],[pos0117]],pointstable[],2,FALSE)</f>
        <v>28</v>
      </c>
      <c r="J14" s="5">
        <f>IFERROR(VLOOKUP(U14Mcombined[[#This Row],[Card]],results0119[],3,FALSE),999)</f>
        <v>8</v>
      </c>
      <c r="K14" s="5">
        <f>VLOOKUP(U14Mcombined[[#This Row],[pos0119]],pointstable[],2,FALSE)</f>
        <v>160</v>
      </c>
      <c r="L14" s="5">
        <f>IFERROR(VLOOKUP(U14Mcombined[[#This Row],[Card]],results0118[],3,FALSE),999)</f>
        <v>999</v>
      </c>
      <c r="M14" s="5">
        <f>VLOOKUP(U14Mcombined[[#This Row],[pos0118]],pointstable[],2,FALSE)</f>
        <v>0</v>
      </c>
      <c r="N14" s="5">
        <f>IFERROR(VLOOKUP(U14Mcombined[[#This Row],[Card]],results0123[],3,FALSE),999)</f>
        <v>29</v>
      </c>
      <c r="O14" s="5">
        <f>VLOOKUP(U14Mcombined[[#This Row],[pos0123]],pointstable[],2,FALSE)</f>
        <v>31</v>
      </c>
      <c r="P14" s="5">
        <f>IFERROR(VLOOKUP(U14Mcombined[[#This Row],[Card]],results0120[],3,FALSE),999)</f>
        <v>10</v>
      </c>
      <c r="Q14" s="5">
        <f>VLOOKUP(U14Mcombined[[#This Row],[pos0120]],pointstable[],2,FALSE)</f>
        <v>130</v>
      </c>
      <c r="R14" s="5">
        <f>IFERROR(VLOOKUP(U14Mcombined[[#This Row],[Card]],results0124[],3,FALSE),999)</f>
        <v>999</v>
      </c>
      <c r="S14" s="5">
        <f>IFERROR(VLOOKUP(U14Mcombined[[#This Row],[Card]],results0140[],3,FALSE),999)</f>
        <v>999</v>
      </c>
      <c r="T14" s="5">
        <f>IFERROR(VLOOKUP(U14Mcombined[[#This Row],[Card]],results0125[],3,FALSE),999)</f>
        <v>2</v>
      </c>
      <c r="U14" s="5">
        <f>VLOOKUP(U14Mcombined[[#This Row],[pos0124]],pointstable[],2,FALSE)</f>
        <v>0</v>
      </c>
      <c r="V14" s="5">
        <f>VLOOKUP(U14Mcombined[[#This Row],[pos0140]],pointstable[],2,FALSE)</f>
        <v>0</v>
      </c>
      <c r="W14" s="5">
        <f>VLOOKUP(U14Mcombined[[#This Row],[pos0125]],pointstable[],2,FALSE)</f>
        <v>400</v>
      </c>
    </row>
    <row r="15" spans="1:23" ht="14.45" x14ac:dyDescent="0.3">
      <c r="A15">
        <v>80685</v>
      </c>
      <c r="B15" t="s">
        <v>74</v>
      </c>
      <c r="C15" t="s">
        <v>15</v>
      </c>
      <c r="D15">
        <v>4</v>
      </c>
      <c r="E15" s="5">
        <f>SUM(LARGE(U15:W15,{1,2}))</f>
        <v>465</v>
      </c>
      <c r="F15" s="5">
        <f>MAX(U14Mcombined[[#This Row],[pts0119]],U14Mcombined[[#This Row],[pts0118]],U14Mcombined[[#This Row],[pts0120]])</f>
        <v>180</v>
      </c>
      <c r="G15" s="5">
        <f>MAX(U14Mcombined[[#This Row],[pts0117]],U14Mcombined[[#This Row],[pts0123]])</f>
        <v>145</v>
      </c>
      <c r="H15" s="5">
        <f>IFERROR(VLOOKUP(U14Mcombined[[#This Row],[Card]],results0117[],3,FALSE),999)</f>
        <v>9</v>
      </c>
      <c r="I15" s="5">
        <f>VLOOKUP(U14Mcombined[[#This Row],[pos0117]],pointstable[],2,FALSE)</f>
        <v>145</v>
      </c>
      <c r="J15" s="5">
        <f>IFERROR(VLOOKUP(U14Mcombined[[#This Row],[Card]],results0119[],3,FALSE),999)</f>
        <v>7</v>
      </c>
      <c r="K15" s="5">
        <f>VLOOKUP(U14Mcombined[[#This Row],[pos0119]],pointstable[],2,FALSE)</f>
        <v>180</v>
      </c>
      <c r="L15" s="5">
        <f>IFERROR(VLOOKUP(U14Mcombined[[#This Row],[Card]],results0118[],3,FALSE),999)</f>
        <v>8</v>
      </c>
      <c r="M15" s="5">
        <f>VLOOKUP(U14Mcombined[[#This Row],[pos0118]],pointstable[],2,FALSE)</f>
        <v>160</v>
      </c>
      <c r="N15" s="5">
        <f>IFERROR(VLOOKUP(U14Mcombined[[#This Row],[Card]],results0123[],3,FALSE),999)</f>
        <v>23</v>
      </c>
      <c r="O15" s="5">
        <f>VLOOKUP(U14Mcombined[[#This Row],[pos0123]],pointstable[],2,FALSE)</f>
        <v>44</v>
      </c>
      <c r="P15" s="5">
        <f>IFERROR(VLOOKUP(U14Mcombined[[#This Row],[Card]],results0120[],3,FALSE),999)</f>
        <v>7</v>
      </c>
      <c r="Q15" s="5">
        <f>VLOOKUP(U14Mcombined[[#This Row],[pos0120]],pointstable[],2,FALSE)</f>
        <v>180</v>
      </c>
      <c r="R15" s="5">
        <f>IFERROR(VLOOKUP(U14Mcombined[[#This Row],[Card]],results0124[],3,FALSE),999)</f>
        <v>999</v>
      </c>
      <c r="S15" s="5">
        <f>IFERROR(VLOOKUP(U14Mcombined[[#This Row],[Card]],results0140[],3,FALSE),999)</f>
        <v>2</v>
      </c>
      <c r="T15" s="5">
        <f>IFERROR(VLOOKUP(U14Mcombined[[#This Row],[Card]],results0125[],3,FALSE),999)</f>
        <v>18</v>
      </c>
      <c r="U15" s="5">
        <f>VLOOKUP(U14Mcombined[[#This Row],[pos0124]],pointstable[],2,FALSE)</f>
        <v>0</v>
      </c>
      <c r="V15" s="5">
        <f>VLOOKUP(U14Mcombined[[#This Row],[pos0140]],pointstable[],2,FALSE)</f>
        <v>400</v>
      </c>
      <c r="W15" s="5">
        <f>VLOOKUP(U14Mcombined[[#This Row],[pos0125]],pointstable[],2,FALSE)</f>
        <v>65</v>
      </c>
    </row>
    <row r="16" spans="1:23" ht="14.45" x14ac:dyDescent="0.3">
      <c r="A16">
        <v>80722</v>
      </c>
      <c r="B16" t="s">
        <v>33</v>
      </c>
      <c r="C16" t="s">
        <v>22</v>
      </c>
      <c r="D16">
        <v>4</v>
      </c>
      <c r="E16" s="5">
        <f>SUM(LARGE(U16:W16,{1,2}))</f>
        <v>330</v>
      </c>
      <c r="F16" s="5">
        <f>MAX(U14Mcombined[[#This Row],[pts0119]],U14Mcombined[[#This Row],[pts0118]],U14Mcombined[[#This Row],[pts0120]])</f>
        <v>55</v>
      </c>
      <c r="G16" s="5">
        <f>MAX(U14Mcombined[[#This Row],[pts0117]],U14Mcombined[[#This Row],[pts0123]])</f>
        <v>250</v>
      </c>
      <c r="H16" s="5">
        <f>IFERROR(VLOOKUP(U14Mcombined[[#This Row],[Card]],results0117[],3,FALSE),999)</f>
        <v>4</v>
      </c>
      <c r="I16" s="5">
        <f>VLOOKUP(U14Mcombined[[#This Row],[pos0117]],pointstable[],2,FALSE)</f>
        <v>250</v>
      </c>
      <c r="J16" s="5">
        <f>IFERROR(VLOOKUP(U14Mcombined[[#This Row],[Card]],results0119[],3,FALSE),999)</f>
        <v>999</v>
      </c>
      <c r="K16" s="5">
        <f>VLOOKUP(U14Mcombined[[#This Row],[pos0119]],pointstable[],2,FALSE)</f>
        <v>0</v>
      </c>
      <c r="L16" s="5">
        <f>IFERROR(VLOOKUP(U14Mcombined[[#This Row],[Card]],results0118[],3,FALSE),999)</f>
        <v>20</v>
      </c>
      <c r="M16" s="5">
        <f>VLOOKUP(U14Mcombined[[#This Row],[pos0118]],pointstable[],2,FALSE)</f>
        <v>55</v>
      </c>
      <c r="N16" s="5">
        <f>IFERROR(VLOOKUP(U14Mcombined[[#This Row],[Card]],results0123[],3,FALSE),999)</f>
        <v>11</v>
      </c>
      <c r="O16" s="5">
        <f>VLOOKUP(U14Mcombined[[#This Row],[pos0123]],pointstable[],2,FALSE)</f>
        <v>120</v>
      </c>
      <c r="P16" s="5">
        <f>IFERROR(VLOOKUP(U14Mcombined[[#This Row],[Card]],results0120[],3,FALSE),999)</f>
        <v>23</v>
      </c>
      <c r="Q16" s="5">
        <f>VLOOKUP(U14Mcombined[[#This Row],[pos0120]],pointstable[],2,FALSE)</f>
        <v>44</v>
      </c>
      <c r="R16" s="5">
        <f>IFERROR(VLOOKUP(U14Mcombined[[#This Row],[Card]],results0124[],3,FALSE),999)</f>
        <v>999</v>
      </c>
      <c r="S16" s="5">
        <f>IFERROR(VLOOKUP(U14Mcombined[[#This Row],[Card]],results0140[],3,FALSE),999)</f>
        <v>4</v>
      </c>
      <c r="T16" s="5">
        <f>IFERROR(VLOOKUP(U14Mcombined[[#This Row],[Card]],results0125[],3,FALSE),999)</f>
        <v>15</v>
      </c>
      <c r="U16" s="5">
        <f>VLOOKUP(U14Mcombined[[#This Row],[pos0124]],pointstable[],2,FALSE)</f>
        <v>0</v>
      </c>
      <c r="V16" s="5">
        <f>VLOOKUP(U14Mcombined[[#This Row],[pos0140]],pointstable[],2,FALSE)</f>
        <v>250</v>
      </c>
      <c r="W16" s="5">
        <f>VLOOKUP(U14Mcombined[[#This Row],[pos0125]],pointstable[],2,FALSE)</f>
        <v>80</v>
      </c>
    </row>
    <row r="17" spans="1:23" ht="14.45" x14ac:dyDescent="0.3">
      <c r="A17">
        <v>80717</v>
      </c>
      <c r="B17" t="s">
        <v>26</v>
      </c>
      <c r="C17" t="s">
        <v>22</v>
      </c>
      <c r="D17">
        <v>4</v>
      </c>
      <c r="E17" s="5">
        <f>SUM(LARGE(U17:W17,{1,2}))</f>
        <v>255</v>
      </c>
      <c r="F17" s="5">
        <f>MAX(U14Mcombined[[#This Row],[pts0119]],U14Mcombined[[#This Row],[pts0118]],U14Mcombined[[#This Row],[pts0120]])</f>
        <v>110</v>
      </c>
      <c r="G17" s="5">
        <f>MAX(U14Mcombined[[#This Row],[pts0117]],U14Mcombined[[#This Row],[pts0123]])</f>
        <v>300</v>
      </c>
      <c r="H17" s="5">
        <f>IFERROR(VLOOKUP(U14Mcombined[[#This Row],[Card]],results0117[],3,FALSE),999)</f>
        <v>3</v>
      </c>
      <c r="I17" s="5">
        <f>VLOOKUP(U14Mcombined[[#This Row],[pos0117]],pointstable[],2,FALSE)</f>
        <v>300</v>
      </c>
      <c r="J17" s="5">
        <f>IFERROR(VLOOKUP(U14Mcombined[[#This Row],[Card]],results0119[],3,FALSE),999)</f>
        <v>12</v>
      </c>
      <c r="K17" s="5">
        <f>VLOOKUP(U14Mcombined[[#This Row],[pos0119]],pointstable[],2,FALSE)</f>
        <v>110</v>
      </c>
      <c r="L17" s="5">
        <f>IFERROR(VLOOKUP(U14Mcombined[[#This Row],[Card]],results0118[],3,FALSE),999)</f>
        <v>12</v>
      </c>
      <c r="M17" s="5">
        <f>VLOOKUP(U14Mcombined[[#This Row],[pos0118]],pointstable[],2,FALSE)</f>
        <v>110</v>
      </c>
      <c r="N17" s="5">
        <f>IFERROR(VLOOKUP(U14Mcombined[[#This Row],[Card]],results0123[],3,FALSE),999)</f>
        <v>7</v>
      </c>
      <c r="O17" s="5">
        <f>VLOOKUP(U14Mcombined[[#This Row],[pos0123]],pointstable[],2,FALSE)</f>
        <v>180</v>
      </c>
      <c r="P17" s="5">
        <f>IFERROR(VLOOKUP(U14Mcombined[[#This Row],[Card]],results0120[],3,FALSE),999)</f>
        <v>25</v>
      </c>
      <c r="Q17" s="5">
        <f>VLOOKUP(U14Mcombined[[#This Row],[pos0120]],pointstable[],2,FALSE)</f>
        <v>38</v>
      </c>
      <c r="R17" s="5">
        <f>IFERROR(VLOOKUP(U14Mcombined[[#This Row],[Card]],results0124[],3,FALSE),999)</f>
        <v>9</v>
      </c>
      <c r="S17" s="5">
        <f>IFERROR(VLOOKUP(U14Mcombined[[#This Row],[Card]],results0140[],3,FALSE),999)</f>
        <v>999</v>
      </c>
      <c r="T17" s="5">
        <f>IFERROR(VLOOKUP(U14Mcombined[[#This Row],[Card]],results0125[],3,FALSE),999)</f>
        <v>12</v>
      </c>
      <c r="U17" s="5">
        <f>VLOOKUP(U14Mcombined[[#This Row],[pos0124]],pointstable[],2,FALSE)</f>
        <v>145</v>
      </c>
      <c r="V17" s="5">
        <f>VLOOKUP(U14Mcombined[[#This Row],[pos0140]],pointstable[],2,FALSE)</f>
        <v>0</v>
      </c>
      <c r="W17" s="5">
        <f>VLOOKUP(U14Mcombined[[#This Row],[pos0125]],pointstable[],2,FALSE)</f>
        <v>110</v>
      </c>
    </row>
    <row r="18" spans="1:23" ht="14.45" x14ac:dyDescent="0.3">
      <c r="A18">
        <v>85883</v>
      </c>
      <c r="B18" t="s">
        <v>51</v>
      </c>
      <c r="C18" t="s">
        <v>15</v>
      </c>
      <c r="D18">
        <v>4</v>
      </c>
      <c r="E18" s="5">
        <f>SUM(LARGE(U18:W18,{1,2}))</f>
        <v>265</v>
      </c>
      <c r="F18" s="5">
        <f>MAX(U14Mcombined[[#This Row],[pts0119]],U14Mcombined[[#This Row],[pts0118]],U14Mcombined[[#This Row],[pts0120]])</f>
        <v>100</v>
      </c>
      <c r="G18" s="5">
        <f>MAX(U14Mcombined[[#This Row],[pts0117]],U14Mcombined[[#This Row],[pts0123]])</f>
        <v>0</v>
      </c>
      <c r="H18" s="5">
        <f>IFERROR(VLOOKUP(U14Mcombined[[#This Row],[Card]],results0117[],3,FALSE),999)</f>
        <v>999</v>
      </c>
      <c r="I18" s="5">
        <f>VLOOKUP(U14Mcombined[[#This Row],[pos0117]],pointstable[],2,FALSE)</f>
        <v>0</v>
      </c>
      <c r="J18" s="5">
        <f>IFERROR(VLOOKUP(U14Mcombined[[#This Row],[Card]],results0119[],3,FALSE),999)</f>
        <v>999</v>
      </c>
      <c r="K18" s="5">
        <f>VLOOKUP(U14Mcombined[[#This Row],[pos0119]],pointstable[],2,FALSE)</f>
        <v>0</v>
      </c>
      <c r="L18" s="5">
        <f>IFERROR(VLOOKUP(U14Mcombined[[#This Row],[Card]],results0118[],3,FALSE),999)</f>
        <v>29</v>
      </c>
      <c r="M18" s="5">
        <f>VLOOKUP(U14Mcombined[[#This Row],[pos0118]],pointstable[],2,FALSE)</f>
        <v>31</v>
      </c>
      <c r="N18" s="5">
        <f>IFERROR(VLOOKUP(U14Mcombined[[#This Row],[Card]],results0123[],3,FALSE),999)</f>
        <v>999</v>
      </c>
      <c r="O18" s="5">
        <f>VLOOKUP(U14Mcombined[[#This Row],[pos0123]],pointstable[],2,FALSE)</f>
        <v>0</v>
      </c>
      <c r="P18" s="5">
        <f>IFERROR(VLOOKUP(U14Mcombined[[#This Row],[Card]],results0120[],3,FALSE),999)</f>
        <v>13</v>
      </c>
      <c r="Q18" s="5">
        <f>VLOOKUP(U14Mcombined[[#This Row],[pos0120]],pointstable[],2,FALSE)</f>
        <v>100</v>
      </c>
      <c r="R18" s="5">
        <f>IFERROR(VLOOKUP(U14Mcombined[[#This Row],[Card]],results0124[],3,FALSE),999)</f>
        <v>11</v>
      </c>
      <c r="S18" s="5">
        <f>IFERROR(VLOOKUP(U14Mcombined[[#This Row],[Card]],results0140[],3,FALSE),999)</f>
        <v>23</v>
      </c>
      <c r="T18" s="5">
        <f>IFERROR(VLOOKUP(U14Mcombined[[#This Row],[Card]],results0125[],3,FALSE),999)</f>
        <v>9</v>
      </c>
      <c r="U18" s="5">
        <f>VLOOKUP(U14Mcombined[[#This Row],[pos0124]],pointstable[],2,FALSE)</f>
        <v>120</v>
      </c>
      <c r="V18" s="5">
        <f>VLOOKUP(U14Mcombined[[#This Row],[pos0140]],pointstable[],2,FALSE)</f>
        <v>44</v>
      </c>
      <c r="W18" s="5">
        <f>VLOOKUP(U14Mcombined[[#This Row],[pos0125]],pointstable[],2,FALSE)</f>
        <v>145</v>
      </c>
    </row>
    <row r="19" spans="1:23" ht="14.45" x14ac:dyDescent="0.3">
      <c r="A19">
        <v>80628</v>
      </c>
      <c r="B19" t="s">
        <v>58</v>
      </c>
      <c r="C19" t="s">
        <v>19</v>
      </c>
      <c r="D19">
        <v>4</v>
      </c>
      <c r="E19" s="5">
        <f>SUM(LARGE(U19:W19,{1,2}))</f>
        <v>315</v>
      </c>
      <c r="F19" s="5">
        <f>MAX(U14Mcombined[[#This Row],[pts0119]],U14Mcombined[[#This Row],[pts0118]],U14Mcombined[[#This Row],[pts0120]])</f>
        <v>0</v>
      </c>
      <c r="G19" s="5">
        <f>MAX(U14Mcombined[[#This Row],[pts0117]],U14Mcombined[[#This Row],[pts0123]])</f>
        <v>0</v>
      </c>
      <c r="H19" s="5">
        <f>IFERROR(VLOOKUP(U14Mcombined[[#This Row],[Card]],results0117[],3,FALSE),999)</f>
        <v>999</v>
      </c>
      <c r="I19" s="5">
        <f>VLOOKUP(U14Mcombined[[#This Row],[pos0117]],pointstable[],2,FALSE)</f>
        <v>0</v>
      </c>
      <c r="J19" s="5">
        <f>IFERROR(VLOOKUP(U14Mcombined[[#This Row],[Card]],results0119[],3,FALSE),999)</f>
        <v>999</v>
      </c>
      <c r="K19" s="5">
        <f>VLOOKUP(U14Mcombined[[#This Row],[pos0119]],pointstable[],2,FALSE)</f>
        <v>0</v>
      </c>
      <c r="L19" s="5">
        <f>IFERROR(VLOOKUP(U14Mcombined[[#This Row],[Card]],results0118[],3,FALSE),999)</f>
        <v>999</v>
      </c>
      <c r="M19" s="5">
        <f>VLOOKUP(U14Mcombined[[#This Row],[pos0118]],pointstable[],2,FALSE)</f>
        <v>0</v>
      </c>
      <c r="N19" s="5">
        <f>IFERROR(VLOOKUP(U14Mcombined[[#This Row],[Card]],results0123[],3,FALSE),999)</f>
        <v>999</v>
      </c>
      <c r="O19" s="5">
        <f>VLOOKUP(U14Mcombined[[#This Row],[pos0123]],pointstable[],2,FALSE)</f>
        <v>0</v>
      </c>
      <c r="P19" s="5">
        <f>IFERROR(VLOOKUP(U14Mcombined[[#This Row],[Card]],results0120[],3,FALSE),999)</f>
        <v>999</v>
      </c>
      <c r="Q19" s="5">
        <f>VLOOKUP(U14Mcombined[[#This Row],[pos0120]],pointstable[],2,FALSE)</f>
        <v>0</v>
      </c>
      <c r="R19" s="5">
        <f>IFERROR(VLOOKUP(U14Mcombined[[#This Row],[Card]],results0124[],3,FALSE),999)</f>
        <v>14</v>
      </c>
      <c r="S19" s="5">
        <f>IFERROR(VLOOKUP(U14Mcombined[[#This Row],[Card]],results0140[],3,FALSE),999)</f>
        <v>5</v>
      </c>
      <c r="T19" s="5">
        <f>IFERROR(VLOOKUP(U14Mcombined[[#This Row],[Card]],results0125[],3,FALSE),999)</f>
        <v>999</v>
      </c>
      <c r="U19" s="5">
        <f>VLOOKUP(U14Mcombined[[#This Row],[pos0124]],pointstable[],2,FALSE)</f>
        <v>90</v>
      </c>
      <c r="V19" s="5">
        <f>VLOOKUP(U14Mcombined[[#This Row],[pos0140]],pointstable[],2,FALSE)</f>
        <v>225</v>
      </c>
      <c r="W19" s="5">
        <f>VLOOKUP(U14Mcombined[[#This Row],[pos0125]],pointstable[],2,FALSE)</f>
        <v>0</v>
      </c>
    </row>
    <row r="20" spans="1:23" ht="14.45" x14ac:dyDescent="0.3">
      <c r="A20">
        <v>80669</v>
      </c>
      <c r="B20" t="s">
        <v>70</v>
      </c>
      <c r="C20" t="s">
        <v>15</v>
      </c>
      <c r="D20">
        <v>4</v>
      </c>
      <c r="E20" s="5">
        <f>SUM(LARGE(U20:W20,{1,2}))</f>
        <v>280</v>
      </c>
      <c r="F20" s="5">
        <f>MAX(U14Mcombined[[#This Row],[pts0119]],U14Mcombined[[#This Row],[pts0118]],U14Mcombined[[#This Row],[pts0120]])</f>
        <v>250</v>
      </c>
      <c r="G20" s="5">
        <f>MAX(U14Mcombined[[#This Row],[pts0117]],U14Mcombined[[#This Row],[pts0123]])</f>
        <v>70</v>
      </c>
      <c r="H20" s="5">
        <f>IFERROR(VLOOKUP(U14Mcombined[[#This Row],[Card]],results0117[],3,FALSE),999)</f>
        <v>17</v>
      </c>
      <c r="I20" s="5">
        <f>VLOOKUP(U14Mcombined[[#This Row],[pos0117]],pointstable[],2,FALSE)</f>
        <v>70</v>
      </c>
      <c r="J20" s="5">
        <f>IFERROR(VLOOKUP(U14Mcombined[[#This Row],[Card]],results0119[],3,FALSE),999)</f>
        <v>9</v>
      </c>
      <c r="K20" s="5">
        <f>VLOOKUP(U14Mcombined[[#This Row],[pos0119]],pointstable[],2,FALSE)</f>
        <v>145</v>
      </c>
      <c r="L20" s="5">
        <f>IFERROR(VLOOKUP(U14Mcombined[[#This Row],[Card]],results0118[],3,FALSE),999)</f>
        <v>4</v>
      </c>
      <c r="M20" s="5">
        <f>VLOOKUP(U14Mcombined[[#This Row],[pos0118]],pointstable[],2,FALSE)</f>
        <v>250</v>
      </c>
      <c r="N20" s="5">
        <f>IFERROR(VLOOKUP(U14Mcombined[[#This Row],[Card]],results0123[],3,FALSE),999)</f>
        <v>20</v>
      </c>
      <c r="O20" s="5">
        <f>VLOOKUP(U14Mcombined[[#This Row],[pos0123]],pointstable[],2,FALSE)</f>
        <v>55</v>
      </c>
      <c r="P20" s="5">
        <f>IFERROR(VLOOKUP(U14Mcombined[[#This Row],[Card]],results0120[],3,FALSE),999)</f>
        <v>31</v>
      </c>
      <c r="Q20" s="5">
        <f>VLOOKUP(U14Mcombined[[#This Row],[pos0120]],pointstable[],2,FALSE)</f>
        <v>29</v>
      </c>
      <c r="R20" s="5">
        <f>IFERROR(VLOOKUP(U14Mcombined[[#This Row],[Card]],results0124[],3,FALSE),999)</f>
        <v>13</v>
      </c>
      <c r="S20" s="5">
        <f>IFERROR(VLOOKUP(U14Mcombined[[#This Row],[Card]],results0140[],3,FALSE),999)</f>
        <v>7</v>
      </c>
      <c r="T20" s="5">
        <f>IFERROR(VLOOKUP(U14Mcombined[[#This Row],[Card]],results0125[],3,FALSE),999)</f>
        <v>999</v>
      </c>
      <c r="U20" s="5">
        <f>VLOOKUP(U14Mcombined[[#This Row],[pos0124]],pointstable[],2,FALSE)</f>
        <v>100</v>
      </c>
      <c r="V20" s="5">
        <f>VLOOKUP(U14Mcombined[[#This Row],[pos0140]],pointstable[],2,FALSE)</f>
        <v>180</v>
      </c>
      <c r="W20" s="5">
        <f>VLOOKUP(U14Mcombined[[#This Row],[pos0125]],pointstable[],2,FALSE)</f>
        <v>0</v>
      </c>
    </row>
    <row r="21" spans="1:23" ht="14.45" x14ac:dyDescent="0.3">
      <c r="A21">
        <v>78200</v>
      </c>
      <c r="B21" t="s">
        <v>49</v>
      </c>
      <c r="C21" t="s">
        <v>31</v>
      </c>
      <c r="D21">
        <v>5</v>
      </c>
      <c r="E21" s="5">
        <f>SUM(LARGE(U21:W21,{1,2}))</f>
        <v>130</v>
      </c>
      <c r="F21" s="5">
        <f>MAX(U14Mcombined[[#This Row],[pts0119]],U14Mcombined[[#This Row],[pts0118]],U14Mcombined[[#This Row],[pts0120]])</f>
        <v>200</v>
      </c>
      <c r="G21" s="5">
        <f>MAX(U14Mcombined[[#This Row],[pts0117]],U14Mcombined[[#This Row],[pts0123]])</f>
        <v>225</v>
      </c>
      <c r="H21" s="5">
        <f>IFERROR(VLOOKUP(U14Mcombined[[#This Row],[Card]],results0117[],3,FALSE),999)</f>
        <v>6</v>
      </c>
      <c r="I21" s="5">
        <f>VLOOKUP(U14Mcombined[[#This Row],[pos0117]],pointstable[],2,FALSE)</f>
        <v>200</v>
      </c>
      <c r="J21" s="5">
        <f>IFERROR(VLOOKUP(U14Mcombined[[#This Row],[Card]],results0119[],3,FALSE),999)</f>
        <v>999</v>
      </c>
      <c r="K21" s="5">
        <f>VLOOKUP(U14Mcombined[[#This Row],[pos0119]],pointstable[],2,FALSE)</f>
        <v>0</v>
      </c>
      <c r="L21" s="5">
        <f>IFERROR(VLOOKUP(U14Mcombined[[#This Row],[Card]],results0118[],3,FALSE),999)</f>
        <v>6</v>
      </c>
      <c r="M21" s="5">
        <f>VLOOKUP(U14Mcombined[[#This Row],[pos0118]],pointstable[],2,FALSE)</f>
        <v>200</v>
      </c>
      <c r="N21" s="5">
        <f>IFERROR(VLOOKUP(U14Mcombined[[#This Row],[Card]],results0123[],3,FALSE),999)</f>
        <v>5</v>
      </c>
      <c r="O21" s="5">
        <f>VLOOKUP(U14Mcombined[[#This Row],[pos0123]],pointstable[],2,FALSE)</f>
        <v>225</v>
      </c>
      <c r="P21" s="5">
        <f>IFERROR(VLOOKUP(U14Mcombined[[#This Row],[Card]],results0120[],3,FALSE),999)</f>
        <v>999</v>
      </c>
      <c r="Q21" s="5">
        <f>VLOOKUP(U14Mcombined[[#This Row],[pos0120]],pointstable[],2,FALSE)</f>
        <v>0</v>
      </c>
      <c r="R21" s="5">
        <f>IFERROR(VLOOKUP(U14Mcombined[[#This Row],[Card]],results0124[],3,FALSE),999)</f>
        <v>999</v>
      </c>
      <c r="S21" s="5">
        <f>IFERROR(VLOOKUP(U14Mcombined[[#This Row],[Card]],results0140[],3,FALSE),999)</f>
        <v>999</v>
      </c>
      <c r="T21" s="5">
        <f>IFERROR(VLOOKUP(U14Mcombined[[#This Row],[Card]],results0125[],3,FALSE),999)</f>
        <v>10</v>
      </c>
      <c r="U21" s="5">
        <f>VLOOKUP(U14Mcombined[[#This Row],[pos0124]],pointstable[],2,FALSE)</f>
        <v>0</v>
      </c>
      <c r="V21" s="5">
        <f>VLOOKUP(U14Mcombined[[#This Row],[pos0140]],pointstable[],2,FALSE)</f>
        <v>0</v>
      </c>
      <c r="W21" s="5">
        <f>VLOOKUP(U14Mcombined[[#This Row],[pos0125]],pointstable[],2,FALSE)</f>
        <v>130</v>
      </c>
    </row>
    <row r="22" spans="1:23" ht="14.45" x14ac:dyDescent="0.3">
      <c r="A22">
        <v>80683</v>
      </c>
      <c r="B22" t="s">
        <v>67</v>
      </c>
      <c r="C22" t="s">
        <v>15</v>
      </c>
      <c r="D22">
        <v>4</v>
      </c>
      <c r="E22" s="5">
        <f>SUM(LARGE(U22:W22,{1,2}))</f>
        <v>160</v>
      </c>
      <c r="F22" s="5">
        <f>MAX(U14Mcombined[[#This Row],[pts0119]],U14Mcombined[[#This Row],[pts0118]],U14Mcombined[[#This Row],[pts0120]])</f>
        <v>75</v>
      </c>
      <c r="G22" s="5">
        <f>MAX(U14Mcombined[[#This Row],[pts0117]],U14Mcombined[[#This Row],[pts0123]])</f>
        <v>110</v>
      </c>
      <c r="H22" s="5">
        <f>IFERROR(VLOOKUP(U14Mcombined[[#This Row],[Card]],results0117[],3,FALSE),999)</f>
        <v>19</v>
      </c>
      <c r="I22" s="5">
        <f>VLOOKUP(U14Mcombined[[#This Row],[pos0117]],pointstable[],2,FALSE)</f>
        <v>60</v>
      </c>
      <c r="J22" s="5">
        <f>IFERROR(VLOOKUP(U14Mcombined[[#This Row],[Card]],results0119[],3,FALSE),999)</f>
        <v>21</v>
      </c>
      <c r="K22" s="5">
        <f>VLOOKUP(U14Mcombined[[#This Row],[pos0119]],pointstable[],2,FALSE)</f>
        <v>51</v>
      </c>
      <c r="L22" s="5">
        <f>IFERROR(VLOOKUP(U14Mcombined[[#This Row],[Card]],results0118[],3,FALSE),999)</f>
        <v>16</v>
      </c>
      <c r="M22" s="5">
        <f>VLOOKUP(U14Mcombined[[#This Row],[pos0118]],pointstable[],2,FALSE)</f>
        <v>75</v>
      </c>
      <c r="N22" s="5">
        <f>IFERROR(VLOOKUP(U14Mcombined[[#This Row],[Card]],results0123[],3,FALSE),999)</f>
        <v>12</v>
      </c>
      <c r="O22" s="5">
        <f>VLOOKUP(U14Mcombined[[#This Row],[pos0123]],pointstable[],2,FALSE)</f>
        <v>110</v>
      </c>
      <c r="P22" s="5">
        <f>IFERROR(VLOOKUP(U14Mcombined[[#This Row],[Card]],results0120[],3,FALSE),999)</f>
        <v>38</v>
      </c>
      <c r="Q22" s="5">
        <f>VLOOKUP(U14Mcombined[[#This Row],[pos0120]],pointstable[],2,FALSE)</f>
        <v>22</v>
      </c>
      <c r="R22" s="5">
        <f>IFERROR(VLOOKUP(U14Mcombined[[#This Row],[Card]],results0124[],3,FALSE),999)</f>
        <v>8</v>
      </c>
      <c r="S22" s="5">
        <f>IFERROR(VLOOKUP(U14Mcombined[[#This Row],[Card]],results0140[],3,FALSE),999)</f>
        <v>999</v>
      </c>
      <c r="T22" s="5">
        <f>IFERROR(VLOOKUP(U14Mcombined[[#This Row],[Card]],results0125[],3,FALSE),999)</f>
        <v>999</v>
      </c>
      <c r="U22" s="5">
        <f>VLOOKUP(U14Mcombined[[#This Row],[pos0124]],pointstable[],2,FALSE)</f>
        <v>160</v>
      </c>
      <c r="V22" s="5">
        <f>VLOOKUP(U14Mcombined[[#This Row],[pos0140]],pointstable[],2,FALSE)</f>
        <v>0</v>
      </c>
      <c r="W22" s="5">
        <f>VLOOKUP(U14Mcombined[[#This Row],[pos0125]],pointstable[],2,FALSE)</f>
        <v>0</v>
      </c>
    </row>
    <row r="23" spans="1:23" ht="14.45" x14ac:dyDescent="0.3">
      <c r="A23">
        <v>77214</v>
      </c>
      <c r="B23" t="s">
        <v>154</v>
      </c>
      <c r="C23" t="s">
        <v>155</v>
      </c>
      <c r="D23">
        <v>5</v>
      </c>
      <c r="E23" s="5">
        <f>SUM(LARGE(U23:W23,{1,2}))</f>
        <v>207</v>
      </c>
      <c r="F23" s="5">
        <f>MAX(U14Mcombined[[#This Row],[pts0119]],U14Mcombined[[#This Row],[pts0118]],U14Mcombined[[#This Row],[pts0120]])</f>
        <v>0</v>
      </c>
      <c r="G23" s="5">
        <f>MAX(U14Mcombined[[#This Row],[pts0117]],U14Mcombined[[#This Row],[pts0123]])</f>
        <v>15</v>
      </c>
      <c r="H23" s="5">
        <f>IFERROR(VLOOKUP(U14Mcombined[[#This Row],[Card]],results0117[],3,FALSE),999)</f>
        <v>45</v>
      </c>
      <c r="I23" s="5">
        <f>VLOOKUP(U14Mcombined[[#This Row],[pos0117]],pointstable[],2,FALSE)</f>
        <v>15</v>
      </c>
      <c r="J23" s="5">
        <f>IFERROR(VLOOKUP(U14Mcombined[[#This Row],[Card]],results0119[],3,FALSE),999)</f>
        <v>999</v>
      </c>
      <c r="K23" s="5">
        <f>VLOOKUP(U14Mcombined[[#This Row],[pos0119]],pointstable[],2,FALSE)</f>
        <v>0</v>
      </c>
      <c r="L23" s="5">
        <f>IFERROR(VLOOKUP(U14Mcombined[[#This Row],[Card]],results0118[],3,FALSE),999)</f>
        <v>999</v>
      </c>
      <c r="M23" s="5">
        <f>VLOOKUP(U14Mcombined[[#This Row],[pos0118]],pointstable[],2,FALSE)</f>
        <v>0</v>
      </c>
      <c r="N23" s="5">
        <f>IFERROR(VLOOKUP(U14Mcombined[[#This Row],[Card]],results0123[],3,FALSE),999)</f>
        <v>56</v>
      </c>
      <c r="O23" s="5">
        <f>VLOOKUP(U14Mcombined[[#This Row],[pos0123]],pointstable[],2,FALSE)</f>
        <v>4</v>
      </c>
      <c r="P23" s="5">
        <f>IFERROR(VLOOKUP(U14Mcombined[[#This Row],[Card]],results0120[],3,FALSE),999)</f>
        <v>999</v>
      </c>
      <c r="Q23" s="5">
        <f>VLOOKUP(U14Mcombined[[#This Row],[pos0120]],pointstable[],2,FALSE)</f>
        <v>0</v>
      </c>
      <c r="R23" s="5">
        <f>IFERROR(VLOOKUP(U14Mcombined[[#This Row],[Card]],results0124[],3,FALSE),999)</f>
        <v>53</v>
      </c>
      <c r="S23" s="5">
        <f>IFERROR(VLOOKUP(U14Mcombined[[#This Row],[Card]],results0140[],3,FALSE),999)</f>
        <v>6</v>
      </c>
      <c r="T23" s="5">
        <f>IFERROR(VLOOKUP(U14Mcombined[[#This Row],[Card]],results0125[],3,FALSE),999)</f>
        <v>999</v>
      </c>
      <c r="U23" s="5">
        <f>VLOOKUP(U14Mcombined[[#This Row],[pos0124]],pointstable[],2,FALSE)</f>
        <v>7</v>
      </c>
      <c r="V23" s="5">
        <f>VLOOKUP(U14Mcombined[[#This Row],[pos0140]],pointstable[],2,FALSE)</f>
        <v>200</v>
      </c>
      <c r="W23" s="5">
        <f>VLOOKUP(U14Mcombined[[#This Row],[pos0125]],pointstable[],2,FALSE)</f>
        <v>0</v>
      </c>
    </row>
    <row r="24" spans="1:23" ht="14.45" x14ac:dyDescent="0.3">
      <c r="A24">
        <v>78610</v>
      </c>
      <c r="B24" t="s">
        <v>133</v>
      </c>
      <c r="C24" t="s">
        <v>15</v>
      </c>
      <c r="D24">
        <v>5</v>
      </c>
      <c r="E24" s="5">
        <f>SUM(LARGE(U24:W24,{1,2}))</f>
        <v>179</v>
      </c>
      <c r="F24" s="5">
        <f>MAX(U14Mcombined[[#This Row],[pts0119]],U14Mcombined[[#This Row],[pts0118]],U14Mcombined[[#This Row],[pts0120]])</f>
        <v>120</v>
      </c>
      <c r="G24" s="5">
        <f>MAX(U14Mcombined[[#This Row],[pts0117]],U14Mcombined[[#This Row],[pts0123]])</f>
        <v>36</v>
      </c>
      <c r="H24" s="5">
        <f>IFERROR(VLOOKUP(U14Mcombined[[#This Row],[Card]],results0117[],3,FALSE),999)</f>
        <v>41</v>
      </c>
      <c r="I24" s="5">
        <f>VLOOKUP(U14Mcombined[[#This Row],[pos0117]],pointstable[],2,FALSE)</f>
        <v>19</v>
      </c>
      <c r="J24" s="5">
        <f>IFERROR(VLOOKUP(U14Mcombined[[#This Row],[Card]],results0119[],3,FALSE),999)</f>
        <v>31</v>
      </c>
      <c r="K24" s="5">
        <f>VLOOKUP(U14Mcombined[[#This Row],[pos0119]],pointstable[],2,FALSE)</f>
        <v>29</v>
      </c>
      <c r="L24" s="5">
        <f>IFERROR(VLOOKUP(U14Mcombined[[#This Row],[Card]],results0118[],3,FALSE),999)</f>
        <v>21</v>
      </c>
      <c r="M24" s="5">
        <f>VLOOKUP(U14Mcombined[[#This Row],[pos0118]],pointstable[],2,FALSE)</f>
        <v>51</v>
      </c>
      <c r="N24" s="5">
        <f>IFERROR(VLOOKUP(U14Mcombined[[#This Row],[Card]],results0123[],3,FALSE),999)</f>
        <v>26</v>
      </c>
      <c r="O24" s="5">
        <f>VLOOKUP(U14Mcombined[[#This Row],[pos0123]],pointstable[],2,FALSE)</f>
        <v>36</v>
      </c>
      <c r="P24" s="5">
        <f>IFERROR(VLOOKUP(U14Mcombined[[#This Row],[Card]],results0120[],3,FALSE),999)</f>
        <v>11</v>
      </c>
      <c r="Q24" s="5">
        <f>VLOOKUP(U14Mcombined[[#This Row],[pos0120]],pointstable[],2,FALSE)</f>
        <v>120</v>
      </c>
      <c r="R24" s="5">
        <f>IFERROR(VLOOKUP(U14Mcombined[[#This Row],[Card]],results0124[],3,FALSE),999)</f>
        <v>39</v>
      </c>
      <c r="S24" s="5">
        <f>IFERROR(VLOOKUP(U14Mcombined[[#This Row],[Card]],results0140[],3,FALSE),999)</f>
        <v>9</v>
      </c>
      <c r="T24" s="5">
        <f>IFERROR(VLOOKUP(U14Mcombined[[#This Row],[Card]],results0125[],3,FALSE),999)</f>
        <v>27</v>
      </c>
      <c r="U24" s="5">
        <f>VLOOKUP(U14Mcombined[[#This Row],[pos0124]],pointstable[],2,FALSE)</f>
        <v>21</v>
      </c>
      <c r="V24" s="5">
        <f>VLOOKUP(U14Mcombined[[#This Row],[pos0140]],pointstable[],2,FALSE)</f>
        <v>145</v>
      </c>
      <c r="W24" s="5">
        <f>VLOOKUP(U14Mcombined[[#This Row],[pos0125]],pointstable[],2,FALSE)</f>
        <v>34</v>
      </c>
    </row>
    <row r="25" spans="1:23" ht="14.45" x14ac:dyDescent="0.3">
      <c r="A25">
        <v>78165</v>
      </c>
      <c r="B25" t="s">
        <v>119</v>
      </c>
      <c r="C25" t="s">
        <v>61</v>
      </c>
      <c r="D25">
        <v>4</v>
      </c>
      <c r="E25" s="5">
        <f>SUM(LARGE(U25:W25,{1,2}))</f>
        <v>179</v>
      </c>
      <c r="F25" s="5">
        <f>MAX(U14Mcombined[[#This Row],[pts0119]],U14Mcombined[[#This Row],[pts0118]],U14Mcombined[[#This Row],[pts0120]])</f>
        <v>27</v>
      </c>
      <c r="G25" s="5">
        <f>MAX(U14Mcombined[[#This Row],[pts0117]],U14Mcombined[[#This Row],[pts0123]])</f>
        <v>22</v>
      </c>
      <c r="H25" s="5">
        <f>IFERROR(VLOOKUP(U14Mcombined[[#This Row],[Card]],results0117[],3,FALSE),999)</f>
        <v>38</v>
      </c>
      <c r="I25" s="5">
        <f>VLOOKUP(U14Mcombined[[#This Row],[pos0117]],pointstable[],2,FALSE)</f>
        <v>22</v>
      </c>
      <c r="J25" s="5">
        <f>IFERROR(VLOOKUP(U14Mcombined[[#This Row],[Card]],results0119[],3,FALSE),999)</f>
        <v>33</v>
      </c>
      <c r="K25" s="5">
        <f>VLOOKUP(U14Mcombined[[#This Row],[pos0119]],pointstable[],2,FALSE)</f>
        <v>27</v>
      </c>
      <c r="L25" s="5">
        <f>IFERROR(VLOOKUP(U14Mcombined[[#This Row],[Card]],results0118[],3,FALSE),999)</f>
        <v>34</v>
      </c>
      <c r="M25" s="5">
        <f>VLOOKUP(U14Mcombined[[#This Row],[pos0118]],pointstable[],2,FALSE)</f>
        <v>26</v>
      </c>
      <c r="N25" s="5">
        <f>IFERROR(VLOOKUP(U14Mcombined[[#This Row],[Card]],results0123[],3,FALSE),999)</f>
        <v>38</v>
      </c>
      <c r="O25" s="5">
        <f>VLOOKUP(U14Mcombined[[#This Row],[pos0123]],pointstable[],2,FALSE)</f>
        <v>22</v>
      </c>
      <c r="P25" s="5">
        <f>IFERROR(VLOOKUP(U14Mcombined[[#This Row],[Card]],results0120[],3,FALSE),999)</f>
        <v>999</v>
      </c>
      <c r="Q25" s="5">
        <f>VLOOKUP(U14Mcombined[[#This Row],[pos0120]],pointstable[],2,FALSE)</f>
        <v>0</v>
      </c>
      <c r="R25" s="5">
        <f>IFERROR(VLOOKUP(U14Mcombined[[#This Row],[Card]],results0124[],3,FALSE),999)</f>
        <v>41</v>
      </c>
      <c r="S25" s="5">
        <f>IFERROR(VLOOKUP(U14Mcombined[[#This Row],[Card]],results0140[],3,FALSE),999)</f>
        <v>8</v>
      </c>
      <c r="T25" s="5">
        <f>IFERROR(VLOOKUP(U14Mcombined[[#This Row],[Card]],results0125[],3,FALSE),999)</f>
        <v>47</v>
      </c>
      <c r="U25" s="5">
        <f>VLOOKUP(U14Mcombined[[#This Row],[pos0124]],pointstable[],2,FALSE)</f>
        <v>19</v>
      </c>
      <c r="V25" s="5">
        <f>VLOOKUP(U14Mcombined[[#This Row],[pos0140]],pointstable[],2,FALSE)</f>
        <v>160</v>
      </c>
      <c r="W25" s="5">
        <f>VLOOKUP(U14Mcombined[[#This Row],[pos0125]],pointstable[],2,FALSE)</f>
        <v>13</v>
      </c>
    </row>
    <row r="26" spans="1:23" ht="14.45" x14ac:dyDescent="0.3">
      <c r="A26">
        <v>78619</v>
      </c>
      <c r="B26" t="s">
        <v>121</v>
      </c>
      <c r="C26" t="s">
        <v>61</v>
      </c>
      <c r="D26">
        <v>4</v>
      </c>
      <c r="E26" s="5">
        <f>SUM(LARGE(U26:W26,{1,2}))</f>
        <v>159</v>
      </c>
      <c r="F26" s="5">
        <f>MAX(U14Mcombined[[#This Row],[pts0119]],U14Mcombined[[#This Row],[pts0118]],U14Mcombined[[#This Row],[pts0120]])</f>
        <v>27</v>
      </c>
      <c r="G26" s="5">
        <f>MAX(U14Mcombined[[#This Row],[pts0117]],U14Mcombined[[#This Row],[pts0123]])</f>
        <v>12</v>
      </c>
      <c r="H26" s="5">
        <f>IFERROR(VLOOKUP(U14Mcombined[[#This Row],[Card]],results0117[],3,FALSE),999)</f>
        <v>999</v>
      </c>
      <c r="I26" s="5">
        <f>VLOOKUP(U14Mcombined[[#This Row],[pos0117]],pointstable[],2,FALSE)</f>
        <v>0</v>
      </c>
      <c r="J26" s="5">
        <f>IFERROR(VLOOKUP(U14Mcombined[[#This Row],[Card]],results0119[],3,FALSE),999)</f>
        <v>999</v>
      </c>
      <c r="K26" s="5">
        <f>VLOOKUP(U14Mcombined[[#This Row],[pos0119]],pointstable[],2,FALSE)</f>
        <v>0</v>
      </c>
      <c r="L26" s="5">
        <f>IFERROR(VLOOKUP(U14Mcombined[[#This Row],[Card]],results0118[],3,FALSE),999)</f>
        <v>38</v>
      </c>
      <c r="M26" s="5">
        <f>VLOOKUP(U14Mcombined[[#This Row],[pos0118]],pointstable[],2,FALSE)</f>
        <v>22</v>
      </c>
      <c r="N26" s="5">
        <f>IFERROR(VLOOKUP(U14Mcombined[[#This Row],[Card]],results0123[],3,FALSE),999)</f>
        <v>48</v>
      </c>
      <c r="O26" s="5">
        <f>VLOOKUP(U14Mcombined[[#This Row],[pos0123]],pointstable[],2,FALSE)</f>
        <v>12</v>
      </c>
      <c r="P26" s="5">
        <f>IFERROR(VLOOKUP(U14Mcombined[[#This Row],[Card]],results0120[],3,FALSE),999)</f>
        <v>33</v>
      </c>
      <c r="Q26" s="5">
        <f>VLOOKUP(U14Mcombined[[#This Row],[pos0120]],pointstable[],2,FALSE)</f>
        <v>27</v>
      </c>
      <c r="R26" s="5">
        <f>IFERROR(VLOOKUP(U14Mcombined[[#This Row],[Card]],results0124[],3,FALSE),999)</f>
        <v>36</v>
      </c>
      <c r="S26" s="5">
        <f>IFERROR(VLOOKUP(U14Mcombined[[#This Row],[Card]],results0140[],3,FALSE),999)</f>
        <v>10</v>
      </c>
      <c r="T26" s="5">
        <f>IFERROR(VLOOKUP(U14Mcombined[[#This Row],[Card]],results0125[],3,FALSE),999)</f>
        <v>31</v>
      </c>
      <c r="U26" s="5">
        <f>VLOOKUP(U14Mcombined[[#This Row],[pos0124]],pointstable[],2,FALSE)</f>
        <v>24</v>
      </c>
      <c r="V26" s="5">
        <f>VLOOKUP(U14Mcombined[[#This Row],[pos0140]],pointstable[],2,FALSE)</f>
        <v>130</v>
      </c>
      <c r="W26" s="5">
        <f>VLOOKUP(U14Mcombined[[#This Row],[pos0125]],pointstable[],2,FALSE)</f>
        <v>29</v>
      </c>
    </row>
    <row r="27" spans="1:23" ht="14.45" x14ac:dyDescent="0.3">
      <c r="A27">
        <v>82314</v>
      </c>
      <c r="B27" t="s">
        <v>78</v>
      </c>
      <c r="C27" t="s">
        <v>15</v>
      </c>
      <c r="D27">
        <v>4</v>
      </c>
      <c r="E27" s="5">
        <f>SUM(LARGE(U27:W27,{1,2}))</f>
        <v>150</v>
      </c>
      <c r="F27" s="5">
        <f>MAX(U14Mcombined[[#This Row],[pts0119]],U14Mcombined[[#This Row],[pts0118]],U14Mcombined[[#This Row],[pts0120]])</f>
        <v>47</v>
      </c>
      <c r="G27" s="5">
        <f>MAX(U14Mcombined[[#This Row],[pts0117]],U14Mcombined[[#This Row],[pts0123]])</f>
        <v>130</v>
      </c>
      <c r="H27" s="5">
        <f>IFERROR(VLOOKUP(U14Mcombined[[#This Row],[Card]],results0117[],3,FALSE),999)</f>
        <v>10</v>
      </c>
      <c r="I27" s="5">
        <f>VLOOKUP(U14Mcombined[[#This Row],[pos0117]],pointstable[],2,FALSE)</f>
        <v>130</v>
      </c>
      <c r="J27" s="5">
        <f>IFERROR(VLOOKUP(U14Mcombined[[#This Row],[Card]],results0119[],3,FALSE),999)</f>
        <v>22</v>
      </c>
      <c r="K27" s="5">
        <f>VLOOKUP(U14Mcombined[[#This Row],[pos0119]],pointstable[],2,FALSE)</f>
        <v>47</v>
      </c>
      <c r="L27" s="5">
        <f>IFERROR(VLOOKUP(U14Mcombined[[#This Row],[Card]],results0118[],3,FALSE),999)</f>
        <v>999</v>
      </c>
      <c r="M27" s="5">
        <f>VLOOKUP(U14Mcombined[[#This Row],[pos0118]],pointstable[],2,FALSE)</f>
        <v>0</v>
      </c>
      <c r="N27" s="5">
        <f>IFERROR(VLOOKUP(U14Mcombined[[#This Row],[Card]],results0123[],3,FALSE),999)</f>
        <v>999</v>
      </c>
      <c r="O27" s="5">
        <f>VLOOKUP(U14Mcombined[[#This Row],[pos0123]],pointstable[],2,FALSE)</f>
        <v>0</v>
      </c>
      <c r="P27" s="5">
        <f>IFERROR(VLOOKUP(U14Mcombined[[#This Row],[Card]],results0120[],3,FALSE),999)</f>
        <v>999</v>
      </c>
      <c r="Q27" s="5">
        <f>VLOOKUP(U14Mcombined[[#This Row],[pos0120]],pointstable[],2,FALSE)</f>
        <v>0</v>
      </c>
      <c r="R27" s="5">
        <f>IFERROR(VLOOKUP(U14Mcombined[[#This Row],[Card]],results0124[],3,FALSE),999)</f>
        <v>15</v>
      </c>
      <c r="S27" s="5">
        <f>IFERROR(VLOOKUP(U14Mcombined[[#This Row],[Card]],results0140[],3,FALSE),999)</f>
        <v>999</v>
      </c>
      <c r="T27" s="5">
        <f>IFERROR(VLOOKUP(U14Mcombined[[#This Row],[Card]],results0125[],3,FALSE),999)</f>
        <v>17</v>
      </c>
      <c r="U27" s="5">
        <f>VLOOKUP(U14Mcombined[[#This Row],[pos0124]],pointstable[],2,FALSE)</f>
        <v>80</v>
      </c>
      <c r="V27" s="5">
        <f>VLOOKUP(U14Mcombined[[#This Row],[pos0140]],pointstable[],2,FALSE)</f>
        <v>0</v>
      </c>
      <c r="W27" s="5">
        <f>VLOOKUP(U14Mcombined[[#This Row],[pos0125]],pointstable[],2,FALSE)</f>
        <v>70</v>
      </c>
    </row>
    <row r="28" spans="1:23" x14ac:dyDescent="0.25">
      <c r="A28">
        <v>76653</v>
      </c>
      <c r="B28" t="s">
        <v>37</v>
      </c>
      <c r="C28" t="s">
        <v>38</v>
      </c>
      <c r="D28">
        <v>4</v>
      </c>
      <c r="E28" s="5">
        <f>SUM(LARGE(U28:W28,{1,2}))</f>
        <v>44</v>
      </c>
      <c r="F28" s="5">
        <f>MAX(U14Mcombined[[#This Row],[pts0119]],U14Mcombined[[#This Row],[pts0118]],U14Mcombined[[#This Row],[pts0120]])</f>
        <v>70</v>
      </c>
      <c r="G28" s="5">
        <f>MAX(U14Mcombined[[#This Row],[pts0117]],U14Mcombined[[#This Row],[pts0123]])</f>
        <v>90</v>
      </c>
      <c r="H28" s="5">
        <f>IFERROR(VLOOKUP(U14Mcombined[[#This Row],[Card]],results0117[],3,FALSE),999)</f>
        <v>18</v>
      </c>
      <c r="I28" s="5">
        <f>VLOOKUP(U14Mcombined[[#This Row],[pos0117]],pointstable[],2,FALSE)</f>
        <v>65</v>
      </c>
      <c r="J28" s="5">
        <f>IFERROR(VLOOKUP(U14Mcombined[[#This Row],[Card]],results0119[],3,FALSE),999)</f>
        <v>17</v>
      </c>
      <c r="K28" s="5">
        <f>VLOOKUP(U14Mcombined[[#This Row],[pos0119]],pointstable[],2,FALSE)</f>
        <v>70</v>
      </c>
      <c r="L28" s="5">
        <f>IFERROR(VLOOKUP(U14Mcombined[[#This Row],[Card]],results0118[],3,FALSE),999)</f>
        <v>25</v>
      </c>
      <c r="M28" s="5">
        <f>VLOOKUP(U14Mcombined[[#This Row],[pos0118]],pointstable[],2,FALSE)</f>
        <v>38</v>
      </c>
      <c r="N28" s="5">
        <f>IFERROR(VLOOKUP(U14Mcombined[[#This Row],[Card]],results0123[],3,FALSE),999)</f>
        <v>14</v>
      </c>
      <c r="O28" s="5">
        <f>VLOOKUP(U14Mcombined[[#This Row],[pos0123]],pointstable[],2,FALSE)</f>
        <v>90</v>
      </c>
      <c r="P28" s="5">
        <f>IFERROR(VLOOKUP(U14Mcombined[[#This Row],[Card]],results0120[],3,FALSE),999)</f>
        <v>18</v>
      </c>
      <c r="Q28" s="5">
        <f>VLOOKUP(U14Mcombined[[#This Row],[pos0120]],pointstable[],2,FALSE)</f>
        <v>65</v>
      </c>
      <c r="R28" s="5">
        <f>IFERROR(VLOOKUP(U14Mcombined[[#This Row],[Card]],results0124[],3,FALSE),999)</f>
        <v>999</v>
      </c>
      <c r="S28" s="5">
        <f>IFERROR(VLOOKUP(U14Mcombined[[#This Row],[Card]],results0140[],3,FALSE),999)</f>
        <v>999</v>
      </c>
      <c r="T28" s="5">
        <f>IFERROR(VLOOKUP(U14Mcombined[[#This Row],[Card]],results0125[],3,FALSE),999)</f>
        <v>23</v>
      </c>
      <c r="U28" s="5">
        <f>VLOOKUP(U14Mcombined[[#This Row],[pos0124]],pointstable[],2,FALSE)</f>
        <v>0</v>
      </c>
      <c r="V28" s="5">
        <f>VLOOKUP(U14Mcombined[[#This Row],[pos0140]],pointstable[],2,FALSE)</f>
        <v>0</v>
      </c>
      <c r="W28" s="5">
        <f>VLOOKUP(U14Mcombined[[#This Row],[pos0125]],pointstable[],2,FALSE)</f>
        <v>44</v>
      </c>
    </row>
    <row r="29" spans="1:23" x14ac:dyDescent="0.25">
      <c r="A29">
        <v>81112</v>
      </c>
      <c r="B29" t="s">
        <v>63</v>
      </c>
      <c r="C29" t="s">
        <v>22</v>
      </c>
      <c r="D29">
        <v>4</v>
      </c>
      <c r="E29" s="5">
        <f>SUM(LARGE(U29:W29,{1,2}))</f>
        <v>120</v>
      </c>
      <c r="F29" s="5">
        <f>MAX(U14Mcombined[[#This Row],[pts0119]],U14Mcombined[[#This Row],[pts0118]],U14Mcombined[[#This Row],[pts0120]])</f>
        <v>0</v>
      </c>
      <c r="G29" s="5">
        <f>MAX(U14Mcombined[[#This Row],[pts0117]],U14Mcombined[[#This Row],[pts0123]])</f>
        <v>51</v>
      </c>
      <c r="H29" s="5">
        <f>IFERROR(VLOOKUP(U14Mcombined[[#This Row],[Card]],results0117[],3,FALSE),999)</f>
        <v>999</v>
      </c>
      <c r="I29" s="5">
        <f>VLOOKUP(U14Mcombined[[#This Row],[pos0117]],pointstable[],2,FALSE)</f>
        <v>0</v>
      </c>
      <c r="J29" s="5">
        <f>IFERROR(VLOOKUP(U14Mcombined[[#This Row],[Card]],results0119[],3,FALSE),999)</f>
        <v>999</v>
      </c>
      <c r="K29" s="5">
        <f>VLOOKUP(U14Mcombined[[#This Row],[pos0119]],pointstable[],2,FALSE)</f>
        <v>0</v>
      </c>
      <c r="L29" s="5">
        <f>IFERROR(VLOOKUP(U14Mcombined[[#This Row],[Card]],results0118[],3,FALSE),999)</f>
        <v>999</v>
      </c>
      <c r="M29" s="5">
        <f>VLOOKUP(U14Mcombined[[#This Row],[pos0118]],pointstable[],2,FALSE)</f>
        <v>0</v>
      </c>
      <c r="N29" s="5">
        <f>IFERROR(VLOOKUP(U14Mcombined[[#This Row],[Card]],results0123[],3,FALSE),999)</f>
        <v>21</v>
      </c>
      <c r="O29" s="5">
        <f>VLOOKUP(U14Mcombined[[#This Row],[pos0123]],pointstable[],2,FALSE)</f>
        <v>51</v>
      </c>
      <c r="P29" s="5">
        <f>IFERROR(VLOOKUP(U14Mcombined[[#This Row],[Card]],results0120[],3,FALSE),999)</f>
        <v>999</v>
      </c>
      <c r="Q29" s="5">
        <f>VLOOKUP(U14Mcombined[[#This Row],[pos0120]],pointstable[],2,FALSE)</f>
        <v>0</v>
      </c>
      <c r="R29" s="5">
        <f>IFERROR(VLOOKUP(U14Mcombined[[#This Row],[Card]],results0124[],3,FALSE),999)</f>
        <v>999</v>
      </c>
      <c r="S29" s="5">
        <f>IFERROR(VLOOKUP(U14Mcombined[[#This Row],[Card]],results0140[],3,FALSE),999)</f>
        <v>11</v>
      </c>
      <c r="T29" s="5">
        <f>IFERROR(VLOOKUP(U14Mcombined[[#This Row],[Card]],results0125[],3,FALSE),999)</f>
        <v>999</v>
      </c>
      <c r="U29" s="5">
        <f>VLOOKUP(U14Mcombined[[#This Row],[pos0124]],pointstable[],2,FALSE)</f>
        <v>0</v>
      </c>
      <c r="V29" s="5">
        <f>VLOOKUP(U14Mcombined[[#This Row],[pos0140]],pointstable[],2,FALSE)</f>
        <v>120</v>
      </c>
      <c r="W29" s="5">
        <f>VLOOKUP(U14Mcombined[[#This Row],[pos0125]],pointstable[],2,FALSE)</f>
        <v>0</v>
      </c>
    </row>
    <row r="30" spans="1:23" x14ac:dyDescent="0.25">
      <c r="A30">
        <v>81108</v>
      </c>
      <c r="B30" t="s">
        <v>44</v>
      </c>
      <c r="C30" t="s">
        <v>22</v>
      </c>
      <c r="D30">
        <v>5</v>
      </c>
      <c r="E30" s="5">
        <f>SUM(LARGE(U30:W30,{1,2}))</f>
        <v>60</v>
      </c>
      <c r="F30" s="5">
        <f>MAX(U14Mcombined[[#This Row],[pts0119]],U14Mcombined[[#This Row],[pts0118]],U14Mcombined[[#This Row],[pts0120]])</f>
        <v>130</v>
      </c>
      <c r="G30" s="5">
        <f>MAX(U14Mcombined[[#This Row],[pts0117]],U14Mcombined[[#This Row],[pts0123]])</f>
        <v>80</v>
      </c>
      <c r="H30" s="5">
        <f>IFERROR(VLOOKUP(U14Mcombined[[#This Row],[Card]],results0117[],3,FALSE),999)</f>
        <v>54</v>
      </c>
      <c r="I30" s="5">
        <f>VLOOKUP(U14Mcombined[[#This Row],[pos0117]],pointstable[],2,FALSE)</f>
        <v>6</v>
      </c>
      <c r="J30" s="5">
        <f>IFERROR(VLOOKUP(U14Mcombined[[#This Row],[Card]],results0119[],3,FALSE),999)</f>
        <v>10</v>
      </c>
      <c r="K30" s="5">
        <f>VLOOKUP(U14Mcombined[[#This Row],[pos0119]],pointstable[],2,FALSE)</f>
        <v>130</v>
      </c>
      <c r="L30" s="5">
        <f>IFERROR(VLOOKUP(U14Mcombined[[#This Row],[Card]],results0118[],3,FALSE),999)</f>
        <v>15</v>
      </c>
      <c r="M30" s="5">
        <f>VLOOKUP(U14Mcombined[[#This Row],[pos0118]],pointstable[],2,FALSE)</f>
        <v>80</v>
      </c>
      <c r="N30" s="5">
        <f>IFERROR(VLOOKUP(U14Mcombined[[#This Row],[Card]],results0123[],3,FALSE),999)</f>
        <v>15</v>
      </c>
      <c r="O30" s="5">
        <f>VLOOKUP(U14Mcombined[[#This Row],[pos0123]],pointstable[],2,FALSE)</f>
        <v>80</v>
      </c>
      <c r="P30" s="5">
        <f>IFERROR(VLOOKUP(U14Mcombined[[#This Row],[Card]],results0120[],3,FALSE),999)</f>
        <v>999</v>
      </c>
      <c r="Q30" s="5">
        <f>VLOOKUP(U14Mcombined[[#This Row],[pos0120]],pointstable[],2,FALSE)</f>
        <v>0</v>
      </c>
      <c r="R30" s="5">
        <f>IFERROR(VLOOKUP(U14Mcombined[[#This Row],[Card]],results0124[],3,FALSE),999)</f>
        <v>999</v>
      </c>
      <c r="S30" s="5">
        <f>IFERROR(VLOOKUP(U14Mcombined[[#This Row],[Card]],results0140[],3,FALSE),999)</f>
        <v>999</v>
      </c>
      <c r="T30" s="5">
        <f>IFERROR(VLOOKUP(U14Mcombined[[#This Row],[Card]],results0125[],3,FALSE),999)</f>
        <v>19</v>
      </c>
      <c r="U30" s="5">
        <f>VLOOKUP(U14Mcombined[[#This Row],[pos0124]],pointstable[],2,FALSE)</f>
        <v>0</v>
      </c>
      <c r="V30" s="5">
        <f>VLOOKUP(U14Mcombined[[#This Row],[pos0140]],pointstable[],2,FALSE)</f>
        <v>0</v>
      </c>
      <c r="W30" s="5">
        <f>VLOOKUP(U14Mcombined[[#This Row],[pos0125]],pointstable[],2,FALSE)</f>
        <v>60</v>
      </c>
    </row>
    <row r="31" spans="1:23" x14ac:dyDescent="0.25">
      <c r="A31">
        <v>80715</v>
      </c>
      <c r="B31" t="s">
        <v>65</v>
      </c>
      <c r="C31" t="s">
        <v>22</v>
      </c>
      <c r="D31">
        <v>4</v>
      </c>
      <c r="E31" s="5">
        <f>SUM(LARGE(U31:W31,{1,2}))</f>
        <v>112</v>
      </c>
      <c r="F31" s="5">
        <f>MAX(U14Mcombined[[#This Row],[pts0119]],U14Mcombined[[#This Row],[pts0118]],U14Mcombined[[#This Row],[pts0120]])</f>
        <v>160</v>
      </c>
      <c r="G31" s="5">
        <f>MAX(U14Mcombined[[#This Row],[pts0117]],U14Mcombined[[#This Row],[pts0123]])</f>
        <v>130</v>
      </c>
      <c r="H31" s="5">
        <f>IFERROR(VLOOKUP(U14Mcombined[[#This Row],[Card]],results0117[],3,FALSE),999)</f>
        <v>13</v>
      </c>
      <c r="I31" s="5">
        <f>VLOOKUP(U14Mcombined[[#This Row],[pos0117]],pointstable[],2,FALSE)</f>
        <v>100</v>
      </c>
      <c r="J31" s="5">
        <f>IFERROR(VLOOKUP(U14Mcombined[[#This Row],[Card]],results0119[],3,FALSE),999)</f>
        <v>999</v>
      </c>
      <c r="K31" s="5">
        <f>VLOOKUP(U14Mcombined[[#This Row],[pos0119]],pointstable[],2,FALSE)</f>
        <v>0</v>
      </c>
      <c r="L31" s="5">
        <f>IFERROR(VLOOKUP(U14Mcombined[[#This Row],[Card]],results0118[],3,FALSE),999)</f>
        <v>13</v>
      </c>
      <c r="M31" s="5">
        <f>VLOOKUP(U14Mcombined[[#This Row],[pos0118]],pointstable[],2,FALSE)</f>
        <v>100</v>
      </c>
      <c r="N31" s="5">
        <f>IFERROR(VLOOKUP(U14Mcombined[[#This Row],[Card]],results0123[],3,FALSE),999)</f>
        <v>10</v>
      </c>
      <c r="O31" s="5">
        <f>VLOOKUP(U14Mcombined[[#This Row],[pos0123]],pointstable[],2,FALSE)</f>
        <v>130</v>
      </c>
      <c r="P31" s="5">
        <f>IFERROR(VLOOKUP(U14Mcombined[[#This Row],[Card]],results0120[],3,FALSE),999)</f>
        <v>8</v>
      </c>
      <c r="Q31" s="5">
        <f>VLOOKUP(U14Mcombined[[#This Row],[pos0120]],pointstable[],2,FALSE)</f>
        <v>160</v>
      </c>
      <c r="R31" s="5">
        <f>IFERROR(VLOOKUP(U14Mcombined[[#This Row],[Card]],results0124[],3,FALSE),999)</f>
        <v>28</v>
      </c>
      <c r="S31" s="5">
        <f>IFERROR(VLOOKUP(U14Mcombined[[#This Row],[Card]],results0140[],3,FALSE),999)</f>
        <v>999</v>
      </c>
      <c r="T31" s="5">
        <f>IFERROR(VLOOKUP(U14Mcombined[[#This Row],[Card]],results0125[],3,FALSE),999)</f>
        <v>15</v>
      </c>
      <c r="U31" s="5">
        <f>VLOOKUP(U14Mcombined[[#This Row],[pos0124]],pointstable[],2,FALSE)</f>
        <v>32</v>
      </c>
      <c r="V31" s="5">
        <f>VLOOKUP(U14Mcombined[[#This Row],[pos0140]],pointstable[],2,FALSE)</f>
        <v>0</v>
      </c>
      <c r="W31" s="5">
        <f>VLOOKUP(U14Mcombined[[#This Row],[pos0125]],pointstable[],2,FALSE)</f>
        <v>80</v>
      </c>
    </row>
    <row r="32" spans="1:23" x14ac:dyDescent="0.25">
      <c r="A32">
        <v>85235</v>
      </c>
      <c r="B32" t="s">
        <v>46</v>
      </c>
      <c r="C32" t="s">
        <v>47</v>
      </c>
      <c r="D32">
        <v>4</v>
      </c>
      <c r="E32" s="5">
        <f>SUM(LARGE(U32:W32,{1,2}))</f>
        <v>60</v>
      </c>
      <c r="F32" s="5">
        <f>MAX(U14Mcombined[[#This Row],[pts0119]],U14Mcombined[[#This Row],[pts0118]],U14Mcombined[[#This Row],[pts0120]])</f>
        <v>51</v>
      </c>
      <c r="G32" s="5">
        <f>MAX(U14Mcombined[[#This Row],[pts0117]],U14Mcombined[[#This Row],[pts0123]])</f>
        <v>60</v>
      </c>
      <c r="H32" s="5">
        <f>IFERROR(VLOOKUP(U14Mcombined[[#This Row],[Card]],results0117[],3,FALSE),999)</f>
        <v>999</v>
      </c>
      <c r="I32" s="5">
        <f>VLOOKUP(U14Mcombined[[#This Row],[pos0117]],pointstable[],2,FALSE)</f>
        <v>0</v>
      </c>
      <c r="J32" s="5">
        <f>IFERROR(VLOOKUP(U14Mcombined[[#This Row],[Card]],results0119[],3,FALSE),999)</f>
        <v>999</v>
      </c>
      <c r="K32" s="5">
        <f>VLOOKUP(U14Mcombined[[#This Row],[pos0119]],pointstable[],2,FALSE)</f>
        <v>0</v>
      </c>
      <c r="L32" s="5">
        <f>IFERROR(VLOOKUP(U14Mcombined[[#This Row],[Card]],results0118[],3,FALSE),999)</f>
        <v>26</v>
      </c>
      <c r="M32" s="5">
        <f>VLOOKUP(U14Mcombined[[#This Row],[pos0118]],pointstable[],2,FALSE)</f>
        <v>36</v>
      </c>
      <c r="N32" s="5">
        <f>IFERROR(VLOOKUP(U14Mcombined[[#This Row],[Card]],results0123[],3,FALSE),999)</f>
        <v>19</v>
      </c>
      <c r="O32" s="5">
        <f>VLOOKUP(U14Mcombined[[#This Row],[pos0123]],pointstable[],2,FALSE)</f>
        <v>60</v>
      </c>
      <c r="P32" s="5">
        <f>IFERROR(VLOOKUP(U14Mcombined[[#This Row],[Card]],results0120[],3,FALSE),999)</f>
        <v>21</v>
      </c>
      <c r="Q32" s="5">
        <f>VLOOKUP(U14Mcombined[[#This Row],[pos0120]],pointstable[],2,FALSE)</f>
        <v>51</v>
      </c>
      <c r="R32" s="5">
        <f>IFERROR(VLOOKUP(U14Mcombined[[#This Row],[Card]],results0124[],3,FALSE),999)</f>
        <v>19</v>
      </c>
      <c r="S32" s="5">
        <f>IFERROR(VLOOKUP(U14Mcombined[[#This Row],[Card]],results0140[],3,FALSE),999)</f>
        <v>999</v>
      </c>
      <c r="T32" s="5">
        <f>IFERROR(VLOOKUP(U14Mcombined[[#This Row],[Card]],results0125[],3,FALSE),999)</f>
        <v>999</v>
      </c>
      <c r="U32" s="5">
        <f>VLOOKUP(U14Mcombined[[#This Row],[pos0124]],pointstable[],2,FALSE)</f>
        <v>60</v>
      </c>
      <c r="V32" s="5">
        <f>VLOOKUP(U14Mcombined[[#This Row],[pos0140]],pointstable[],2,FALSE)</f>
        <v>0</v>
      </c>
      <c r="W32" s="5">
        <f>VLOOKUP(U14Mcombined[[#This Row],[pos0125]],pointstable[],2,FALSE)</f>
        <v>0</v>
      </c>
    </row>
    <row r="33" spans="1:23" x14ac:dyDescent="0.25">
      <c r="A33">
        <v>82431</v>
      </c>
      <c r="B33" t="s">
        <v>41</v>
      </c>
      <c r="C33" t="s">
        <v>42</v>
      </c>
      <c r="D33">
        <v>4</v>
      </c>
      <c r="E33" s="5">
        <f>SUM(LARGE(U33:W33,{1,2}))</f>
        <v>38</v>
      </c>
      <c r="F33" s="5">
        <f>MAX(U14Mcombined[[#This Row],[pts0119]],U14Mcombined[[#This Row],[pts0118]],U14Mcombined[[#This Row],[pts0120]])</f>
        <v>300</v>
      </c>
      <c r="G33" s="5">
        <f>MAX(U14Mcombined[[#This Row],[pts0117]],U14Mcombined[[#This Row],[pts0123]])</f>
        <v>160</v>
      </c>
      <c r="H33" s="5">
        <f>IFERROR(VLOOKUP(U14Mcombined[[#This Row],[Card]],results0117[],3,FALSE),999)</f>
        <v>8</v>
      </c>
      <c r="I33" s="5">
        <f>VLOOKUP(U14Mcombined[[#This Row],[pos0117]],pointstable[],2,FALSE)</f>
        <v>160</v>
      </c>
      <c r="J33" s="5">
        <f>IFERROR(VLOOKUP(U14Mcombined[[#This Row],[Card]],results0119[],3,FALSE),999)</f>
        <v>3</v>
      </c>
      <c r="K33" s="5">
        <f>VLOOKUP(U14Mcombined[[#This Row],[pos0119]],pointstable[],2,FALSE)</f>
        <v>300</v>
      </c>
      <c r="L33" s="5">
        <f>IFERROR(VLOOKUP(U14Mcombined[[#This Row],[Card]],results0118[],3,FALSE),999)</f>
        <v>18</v>
      </c>
      <c r="M33" s="5">
        <f>VLOOKUP(U14Mcombined[[#This Row],[pos0118]],pointstable[],2,FALSE)</f>
        <v>65</v>
      </c>
      <c r="N33" s="5">
        <f>IFERROR(VLOOKUP(U14Mcombined[[#This Row],[Card]],results0123[],3,FALSE),999)</f>
        <v>28</v>
      </c>
      <c r="O33" s="5">
        <f>VLOOKUP(U14Mcombined[[#This Row],[pos0123]],pointstable[],2,FALSE)</f>
        <v>32</v>
      </c>
      <c r="P33" s="5">
        <f>IFERROR(VLOOKUP(U14Mcombined[[#This Row],[Card]],results0120[],3,FALSE),999)</f>
        <v>999</v>
      </c>
      <c r="Q33" s="5">
        <f>VLOOKUP(U14Mcombined[[#This Row],[pos0120]],pointstable[],2,FALSE)</f>
        <v>0</v>
      </c>
      <c r="R33" s="5">
        <f>IFERROR(VLOOKUP(U14Mcombined[[#This Row],[Card]],results0124[],3,FALSE),999)</f>
        <v>999</v>
      </c>
      <c r="S33" s="5">
        <f>IFERROR(VLOOKUP(U14Mcombined[[#This Row],[Card]],results0140[],3,FALSE),999)</f>
        <v>999</v>
      </c>
      <c r="T33" s="5">
        <f>IFERROR(VLOOKUP(U14Mcombined[[#This Row],[Card]],results0125[],3,FALSE),999)</f>
        <v>25</v>
      </c>
      <c r="U33" s="5">
        <f>VLOOKUP(U14Mcombined[[#This Row],[pos0124]],pointstable[],2,FALSE)</f>
        <v>0</v>
      </c>
      <c r="V33" s="5">
        <f>VLOOKUP(U14Mcombined[[#This Row],[pos0140]],pointstable[],2,FALSE)</f>
        <v>0</v>
      </c>
      <c r="W33" s="5">
        <f>VLOOKUP(U14Mcombined[[#This Row],[pos0125]],pointstable[],2,FALSE)</f>
        <v>38</v>
      </c>
    </row>
    <row r="34" spans="1:23" x14ac:dyDescent="0.25">
      <c r="A34">
        <v>80828</v>
      </c>
      <c r="B34" t="s">
        <v>88</v>
      </c>
      <c r="C34" t="s">
        <v>54</v>
      </c>
      <c r="D34">
        <v>5</v>
      </c>
      <c r="E34" s="5">
        <f>SUM(LARGE(U34:W34,{1,2}))</f>
        <v>120</v>
      </c>
      <c r="F34" s="5">
        <f>MAX(U14Mcombined[[#This Row],[pts0119]],U14Mcombined[[#This Row],[pts0118]],U14Mcombined[[#This Row],[pts0120]])</f>
        <v>28</v>
      </c>
      <c r="G34" s="5">
        <f>MAX(U14Mcombined[[#This Row],[pts0117]],U14Mcombined[[#This Row],[pts0123]])</f>
        <v>38</v>
      </c>
      <c r="H34" s="5">
        <f>IFERROR(VLOOKUP(U14Mcombined[[#This Row],[Card]],results0117[],3,FALSE),999)</f>
        <v>28</v>
      </c>
      <c r="I34" s="5">
        <f>VLOOKUP(U14Mcombined[[#This Row],[pos0117]],pointstable[],2,FALSE)</f>
        <v>32</v>
      </c>
      <c r="J34" s="5">
        <f>IFERROR(VLOOKUP(U14Mcombined[[#This Row],[Card]],results0119[],3,FALSE),999)</f>
        <v>32</v>
      </c>
      <c r="K34" s="5">
        <f>VLOOKUP(U14Mcombined[[#This Row],[pos0119]],pointstable[],2,FALSE)</f>
        <v>28</v>
      </c>
      <c r="L34" s="5">
        <f>IFERROR(VLOOKUP(U14Mcombined[[#This Row],[Card]],results0118[],3,FALSE),999)</f>
        <v>41</v>
      </c>
      <c r="M34" s="5">
        <f>VLOOKUP(U14Mcombined[[#This Row],[pos0118]],pointstable[],2,FALSE)</f>
        <v>19</v>
      </c>
      <c r="N34" s="5">
        <f>IFERROR(VLOOKUP(U14Mcombined[[#This Row],[Card]],results0123[],3,FALSE),999)</f>
        <v>25</v>
      </c>
      <c r="O34" s="5">
        <f>VLOOKUP(U14Mcombined[[#This Row],[pos0123]],pointstable[],2,FALSE)</f>
        <v>38</v>
      </c>
      <c r="P34" s="5">
        <f>IFERROR(VLOOKUP(U14Mcombined[[#This Row],[Card]],results0120[],3,FALSE),999)</f>
        <v>999</v>
      </c>
      <c r="Q34" s="5">
        <f>VLOOKUP(U14Mcombined[[#This Row],[pos0120]],pointstable[],2,FALSE)</f>
        <v>0</v>
      </c>
      <c r="R34" s="5">
        <f>IFERROR(VLOOKUP(U14Mcombined[[#This Row],[Card]],results0124[],3,FALSE),999)</f>
        <v>999</v>
      </c>
      <c r="S34" s="5">
        <f>IFERROR(VLOOKUP(U14Mcombined[[#This Row],[Card]],results0140[],3,FALSE),999)</f>
        <v>13</v>
      </c>
      <c r="T34" s="5">
        <f>IFERROR(VLOOKUP(U14Mcombined[[#This Row],[Card]],results0125[],3,FALSE),999)</f>
        <v>40</v>
      </c>
      <c r="U34" s="5">
        <f>VLOOKUP(U14Mcombined[[#This Row],[pos0124]],pointstable[],2,FALSE)</f>
        <v>0</v>
      </c>
      <c r="V34" s="5">
        <f>VLOOKUP(U14Mcombined[[#This Row],[pos0140]],pointstable[],2,FALSE)</f>
        <v>100</v>
      </c>
      <c r="W34" s="5">
        <f>VLOOKUP(U14Mcombined[[#This Row],[pos0125]],pointstable[],2,FALSE)</f>
        <v>20</v>
      </c>
    </row>
    <row r="35" spans="1:23" x14ac:dyDescent="0.25">
      <c r="A35">
        <v>81110</v>
      </c>
      <c r="B35" t="s">
        <v>86</v>
      </c>
      <c r="C35" t="s">
        <v>22</v>
      </c>
      <c r="D35">
        <v>5</v>
      </c>
      <c r="E35" s="5">
        <f>SUM(LARGE(U35:W35,{1,2}))</f>
        <v>119</v>
      </c>
      <c r="F35" s="5">
        <f>MAX(U14Mcombined[[#This Row],[pts0119]],U14Mcombined[[#This Row],[pts0118]],U14Mcombined[[#This Row],[pts0120]])</f>
        <v>34</v>
      </c>
      <c r="G35" s="5">
        <f>MAX(U14Mcombined[[#This Row],[pts0117]],U14Mcombined[[#This Row],[pts0123]])</f>
        <v>44</v>
      </c>
      <c r="H35" s="5">
        <f>IFERROR(VLOOKUP(U14Mcombined[[#This Row],[Card]],results0117[],3,FALSE),999)</f>
        <v>23</v>
      </c>
      <c r="I35" s="5">
        <f>VLOOKUP(U14Mcombined[[#This Row],[pos0117]],pointstable[],2,FALSE)</f>
        <v>44</v>
      </c>
      <c r="J35" s="5">
        <f>IFERROR(VLOOKUP(U14Mcombined[[#This Row],[Card]],results0119[],3,FALSE),999)</f>
        <v>999</v>
      </c>
      <c r="K35" s="5">
        <f>VLOOKUP(U14Mcombined[[#This Row],[pos0119]],pointstable[],2,FALSE)</f>
        <v>0</v>
      </c>
      <c r="L35" s="5">
        <f>IFERROR(VLOOKUP(U14Mcombined[[#This Row],[Card]],results0118[],3,FALSE),999)</f>
        <v>999</v>
      </c>
      <c r="M35" s="5">
        <f>VLOOKUP(U14Mcombined[[#This Row],[pos0118]],pointstable[],2,FALSE)</f>
        <v>0</v>
      </c>
      <c r="N35" s="5">
        <f>IFERROR(VLOOKUP(U14Mcombined[[#This Row],[Card]],results0123[],3,FALSE),999)</f>
        <v>31</v>
      </c>
      <c r="O35" s="5">
        <f>VLOOKUP(U14Mcombined[[#This Row],[pos0123]],pointstable[],2,FALSE)</f>
        <v>29</v>
      </c>
      <c r="P35" s="5">
        <f>IFERROR(VLOOKUP(U14Mcombined[[#This Row],[Card]],results0120[],3,FALSE),999)</f>
        <v>27</v>
      </c>
      <c r="Q35" s="5">
        <f>VLOOKUP(U14Mcombined[[#This Row],[pos0120]],pointstable[],2,FALSE)</f>
        <v>34</v>
      </c>
      <c r="R35" s="5">
        <f>IFERROR(VLOOKUP(U14Mcombined[[#This Row],[Card]],results0124[],3,FALSE),999)</f>
        <v>31</v>
      </c>
      <c r="S35" s="5">
        <f>IFERROR(VLOOKUP(U14Mcombined[[#This Row],[Card]],results0140[],3,FALSE),999)</f>
        <v>999</v>
      </c>
      <c r="T35" s="5">
        <f>IFERROR(VLOOKUP(U14Mcombined[[#This Row],[Card]],results0125[],3,FALSE),999)</f>
        <v>14</v>
      </c>
      <c r="U35" s="5">
        <f>VLOOKUP(U14Mcombined[[#This Row],[pos0124]],pointstable[],2,FALSE)</f>
        <v>29</v>
      </c>
      <c r="V35" s="5">
        <f>VLOOKUP(U14Mcombined[[#This Row],[pos0140]],pointstable[],2,FALSE)</f>
        <v>0</v>
      </c>
      <c r="W35" s="5">
        <f>VLOOKUP(U14Mcombined[[#This Row],[pos0125]],pointstable[],2,FALSE)</f>
        <v>90</v>
      </c>
    </row>
    <row r="36" spans="1:23" x14ac:dyDescent="0.25">
      <c r="A36">
        <v>80809</v>
      </c>
      <c r="B36" t="s">
        <v>53</v>
      </c>
      <c r="C36" t="s">
        <v>54</v>
      </c>
      <c r="D36">
        <v>4</v>
      </c>
      <c r="E36" s="5">
        <f>SUM(LARGE(U36:W36,{1,2}))</f>
        <v>70</v>
      </c>
      <c r="F36" s="5">
        <f>MAX(U14Mcombined[[#This Row],[pts0119]],U14Mcombined[[#This Row],[pts0118]],U14Mcombined[[#This Row],[pts0120]])</f>
        <v>110</v>
      </c>
      <c r="G36" s="5">
        <f>MAX(U14Mcombined[[#This Row],[pts0117]],U14Mcombined[[#This Row],[pts0123]])</f>
        <v>0</v>
      </c>
      <c r="H36" s="5">
        <f>IFERROR(VLOOKUP(U14Mcombined[[#This Row],[Card]],results0117[],3,FALSE),999)</f>
        <v>999</v>
      </c>
      <c r="I36" s="5">
        <f>VLOOKUP(U14Mcombined[[#This Row],[pos0117]],pointstable[],2,FALSE)</f>
        <v>0</v>
      </c>
      <c r="J36" s="5">
        <f>IFERROR(VLOOKUP(U14Mcombined[[#This Row],[Card]],results0119[],3,FALSE),999)</f>
        <v>999</v>
      </c>
      <c r="K36" s="5">
        <f>VLOOKUP(U14Mcombined[[#This Row],[pos0119]],pointstable[],2,FALSE)</f>
        <v>0</v>
      </c>
      <c r="L36" s="5">
        <f>IFERROR(VLOOKUP(U14Mcombined[[#This Row],[Card]],results0118[],3,FALSE),999)</f>
        <v>14</v>
      </c>
      <c r="M36" s="5">
        <f>VLOOKUP(U14Mcombined[[#This Row],[pos0118]],pointstable[],2,FALSE)</f>
        <v>90</v>
      </c>
      <c r="N36" s="5">
        <f>IFERROR(VLOOKUP(U14Mcombined[[#This Row],[Card]],results0123[],3,FALSE),999)</f>
        <v>999</v>
      </c>
      <c r="O36" s="5">
        <f>VLOOKUP(U14Mcombined[[#This Row],[pos0123]],pointstable[],2,FALSE)</f>
        <v>0</v>
      </c>
      <c r="P36" s="5">
        <f>IFERROR(VLOOKUP(U14Mcombined[[#This Row],[Card]],results0120[],3,FALSE),999)</f>
        <v>12</v>
      </c>
      <c r="Q36" s="5">
        <f>VLOOKUP(U14Mcombined[[#This Row],[pos0120]],pointstable[],2,FALSE)</f>
        <v>110</v>
      </c>
      <c r="R36" s="5">
        <f>IFERROR(VLOOKUP(U14Mcombined[[#This Row],[Card]],results0124[],3,FALSE),999)</f>
        <v>17</v>
      </c>
      <c r="S36" s="5">
        <f>IFERROR(VLOOKUP(U14Mcombined[[#This Row],[Card]],results0140[],3,FALSE),999)</f>
        <v>999</v>
      </c>
      <c r="T36" s="5">
        <f>IFERROR(VLOOKUP(U14Mcombined[[#This Row],[Card]],results0125[],3,FALSE),999)</f>
        <v>999</v>
      </c>
      <c r="U36" s="5">
        <f>VLOOKUP(U14Mcombined[[#This Row],[pos0124]],pointstable[],2,FALSE)</f>
        <v>70</v>
      </c>
      <c r="V36" s="5">
        <f>VLOOKUP(U14Mcombined[[#This Row],[pos0140]],pointstable[],2,FALSE)</f>
        <v>0</v>
      </c>
      <c r="W36" s="5">
        <f>VLOOKUP(U14Mcombined[[#This Row],[pos0125]],pointstable[],2,FALSE)</f>
        <v>0</v>
      </c>
    </row>
    <row r="37" spans="1:23" x14ac:dyDescent="0.25">
      <c r="A37">
        <v>78164</v>
      </c>
      <c r="B37" t="s">
        <v>129</v>
      </c>
      <c r="C37" t="s">
        <v>61</v>
      </c>
      <c r="D37">
        <v>5</v>
      </c>
      <c r="E37" s="5">
        <f>SUM(LARGE(U37:W37,{1,2}))</f>
        <v>123</v>
      </c>
      <c r="F37" s="5">
        <f>MAX(U14Mcombined[[#This Row],[pts0119]],U14Mcombined[[#This Row],[pts0118]],U14Mcombined[[#This Row],[pts0120]])</f>
        <v>90</v>
      </c>
      <c r="G37" s="5">
        <f>MAX(U14Mcombined[[#This Row],[pts0117]],U14Mcombined[[#This Row],[pts0123]])</f>
        <v>20</v>
      </c>
      <c r="H37" s="5">
        <f>IFERROR(VLOOKUP(U14Mcombined[[#This Row],[Card]],results0117[],3,FALSE),999)</f>
        <v>56</v>
      </c>
      <c r="I37" s="5">
        <f>VLOOKUP(U14Mcombined[[#This Row],[pos0117]],pointstable[],2,FALSE)</f>
        <v>4</v>
      </c>
      <c r="J37" s="5">
        <f>IFERROR(VLOOKUP(U14Mcombined[[#This Row],[Card]],results0119[],3,FALSE),999)</f>
        <v>29</v>
      </c>
      <c r="K37" s="5">
        <f>VLOOKUP(U14Mcombined[[#This Row],[pos0119]],pointstable[],2,FALSE)</f>
        <v>31</v>
      </c>
      <c r="L37" s="5">
        <f>IFERROR(VLOOKUP(U14Mcombined[[#This Row],[Card]],results0118[],3,FALSE),999)</f>
        <v>35</v>
      </c>
      <c r="M37" s="5">
        <f>VLOOKUP(U14Mcombined[[#This Row],[pos0118]],pointstable[],2,FALSE)</f>
        <v>25</v>
      </c>
      <c r="N37" s="5">
        <f>IFERROR(VLOOKUP(U14Mcombined[[#This Row],[Card]],results0123[],3,FALSE),999)</f>
        <v>40</v>
      </c>
      <c r="O37" s="5">
        <f>VLOOKUP(U14Mcombined[[#This Row],[pos0123]],pointstable[],2,FALSE)</f>
        <v>20</v>
      </c>
      <c r="P37" s="5">
        <f>IFERROR(VLOOKUP(U14Mcombined[[#This Row],[Card]],results0120[],3,FALSE),999)</f>
        <v>14</v>
      </c>
      <c r="Q37" s="5">
        <f>VLOOKUP(U14Mcombined[[#This Row],[pos0120]],pointstable[],2,FALSE)</f>
        <v>90</v>
      </c>
      <c r="R37" s="5">
        <f>IFERROR(VLOOKUP(U14Mcombined[[#This Row],[Card]],results0124[],3,FALSE),999)</f>
        <v>47</v>
      </c>
      <c r="S37" s="5">
        <f>IFERROR(VLOOKUP(U14Mcombined[[#This Row],[Card]],results0140[],3,FALSE),999)</f>
        <v>12</v>
      </c>
      <c r="T37" s="5">
        <f>IFERROR(VLOOKUP(U14Mcombined[[#This Row],[Card]],results0125[],3,FALSE),999)</f>
        <v>52</v>
      </c>
      <c r="U37" s="5">
        <f>VLOOKUP(U14Mcombined[[#This Row],[pos0124]],pointstable[],2,FALSE)</f>
        <v>13</v>
      </c>
      <c r="V37" s="5">
        <f>VLOOKUP(U14Mcombined[[#This Row],[pos0140]],pointstable[],2,FALSE)</f>
        <v>110</v>
      </c>
      <c r="W37" s="5">
        <f>VLOOKUP(U14Mcombined[[#This Row],[pos0125]],pointstable[],2,FALSE)</f>
        <v>8</v>
      </c>
    </row>
    <row r="38" spans="1:23" x14ac:dyDescent="0.25">
      <c r="A38">
        <v>80718</v>
      </c>
      <c r="B38" t="s">
        <v>94</v>
      </c>
      <c r="C38" t="s">
        <v>22</v>
      </c>
      <c r="D38">
        <v>4</v>
      </c>
      <c r="E38" s="5">
        <f>SUM(LARGE(U38:W38,{1,2}))</f>
        <v>107</v>
      </c>
      <c r="F38" s="5">
        <f>MAX(U14Mcombined[[#This Row],[pts0119]],U14Mcombined[[#This Row],[pts0118]],U14Mcombined[[#This Row],[pts0120]])</f>
        <v>36</v>
      </c>
      <c r="G38" s="5">
        <f>MAX(U14Mcombined[[#This Row],[pts0117]],U14Mcombined[[#This Row],[pts0123]])</f>
        <v>47</v>
      </c>
      <c r="H38" s="5">
        <f>IFERROR(VLOOKUP(U14Mcombined[[#This Row],[Card]],results0117[],3,FALSE),999)</f>
        <v>22</v>
      </c>
      <c r="I38" s="5">
        <f>VLOOKUP(U14Mcombined[[#This Row],[pos0117]],pointstable[],2,FALSE)</f>
        <v>47</v>
      </c>
      <c r="J38" s="5">
        <f>IFERROR(VLOOKUP(U14Mcombined[[#This Row],[Card]],results0119[],3,FALSE),999)</f>
        <v>26</v>
      </c>
      <c r="K38" s="5">
        <f>VLOOKUP(U14Mcombined[[#This Row],[pos0119]],pointstable[],2,FALSE)</f>
        <v>36</v>
      </c>
      <c r="L38" s="5">
        <f>IFERROR(VLOOKUP(U14Mcombined[[#This Row],[Card]],results0118[],3,FALSE),999)</f>
        <v>35</v>
      </c>
      <c r="M38" s="5">
        <f>VLOOKUP(U14Mcombined[[#This Row],[pos0118]],pointstable[],2,FALSE)</f>
        <v>25</v>
      </c>
      <c r="N38" s="5">
        <f>IFERROR(VLOOKUP(U14Mcombined[[#This Row],[Card]],results0123[],3,FALSE),999)</f>
        <v>34</v>
      </c>
      <c r="O38" s="5">
        <f>VLOOKUP(U14Mcombined[[#This Row],[pos0123]],pointstable[],2,FALSE)</f>
        <v>26</v>
      </c>
      <c r="P38" s="5">
        <f>IFERROR(VLOOKUP(U14Mcombined[[#This Row],[Card]],results0120[],3,FALSE),999)</f>
        <v>54</v>
      </c>
      <c r="Q38" s="5">
        <f>VLOOKUP(U14Mcombined[[#This Row],[pos0120]],pointstable[],2,FALSE)</f>
        <v>6</v>
      </c>
      <c r="R38" s="5">
        <f>IFERROR(VLOOKUP(U14Mcombined[[#This Row],[Card]],results0124[],3,FALSE),999)</f>
        <v>999</v>
      </c>
      <c r="S38" s="5">
        <f>IFERROR(VLOOKUP(U14Mcombined[[#This Row],[Card]],results0140[],3,FALSE),999)</f>
        <v>14</v>
      </c>
      <c r="T38" s="5">
        <f>IFERROR(VLOOKUP(U14Mcombined[[#This Row],[Card]],results0125[],3,FALSE),999)</f>
        <v>43</v>
      </c>
      <c r="U38" s="5">
        <f>VLOOKUP(U14Mcombined[[#This Row],[pos0124]],pointstable[],2,FALSE)</f>
        <v>0</v>
      </c>
      <c r="V38" s="5">
        <f>VLOOKUP(U14Mcombined[[#This Row],[pos0140]],pointstable[],2,FALSE)</f>
        <v>90</v>
      </c>
      <c r="W38" s="5">
        <f>VLOOKUP(U14Mcombined[[#This Row],[pos0125]],pointstable[],2,FALSE)</f>
        <v>17</v>
      </c>
    </row>
    <row r="39" spans="1:23" x14ac:dyDescent="0.25">
      <c r="A39">
        <v>77422</v>
      </c>
      <c r="B39" t="s">
        <v>84</v>
      </c>
      <c r="C39" t="s">
        <v>54</v>
      </c>
      <c r="D39">
        <v>4</v>
      </c>
      <c r="E39" s="5">
        <f>SUM(LARGE(U39:W39,{1,2}))</f>
        <v>101</v>
      </c>
      <c r="F39" s="5">
        <f>MAX(U14Mcombined[[#This Row],[pts0119]],U14Mcombined[[#This Row],[pts0118]],U14Mcombined[[#This Row],[pts0120]])</f>
        <v>34</v>
      </c>
      <c r="G39" s="5">
        <f>MAX(U14Mcombined[[#This Row],[pts0117]],U14Mcombined[[#This Row],[pts0123]])</f>
        <v>100</v>
      </c>
      <c r="H39" s="5">
        <f>IFERROR(VLOOKUP(U14Mcombined[[#This Row],[Card]],results0117[],3,FALSE),999)</f>
        <v>999</v>
      </c>
      <c r="I39" s="5">
        <f>VLOOKUP(U14Mcombined[[#This Row],[pos0117]],pointstable[],2,FALSE)</f>
        <v>0</v>
      </c>
      <c r="J39" s="5">
        <f>IFERROR(VLOOKUP(U14Mcombined[[#This Row],[Card]],results0119[],3,FALSE),999)</f>
        <v>999</v>
      </c>
      <c r="K39" s="5">
        <f>VLOOKUP(U14Mcombined[[#This Row],[pos0119]],pointstable[],2,FALSE)</f>
        <v>0</v>
      </c>
      <c r="L39" s="5">
        <f>IFERROR(VLOOKUP(U14Mcombined[[#This Row],[Card]],results0118[],3,FALSE),999)</f>
        <v>27</v>
      </c>
      <c r="M39" s="5">
        <f>VLOOKUP(U14Mcombined[[#This Row],[pos0118]],pointstable[],2,FALSE)</f>
        <v>34</v>
      </c>
      <c r="N39" s="5">
        <f>IFERROR(VLOOKUP(U14Mcombined[[#This Row],[Card]],results0123[],3,FALSE),999)</f>
        <v>13</v>
      </c>
      <c r="O39" s="5">
        <f>VLOOKUP(U14Mcombined[[#This Row],[pos0123]],pointstable[],2,FALSE)</f>
        <v>100</v>
      </c>
      <c r="P39" s="5">
        <f>IFERROR(VLOOKUP(U14Mcombined[[#This Row],[Card]],results0120[],3,FALSE),999)</f>
        <v>51</v>
      </c>
      <c r="Q39" s="5">
        <f>VLOOKUP(U14Mcombined[[#This Row],[pos0120]],pointstable[],2,FALSE)</f>
        <v>9</v>
      </c>
      <c r="R39" s="5">
        <f>IFERROR(VLOOKUP(U14Mcombined[[#This Row],[Card]],results0124[],3,FALSE),999)</f>
        <v>16</v>
      </c>
      <c r="S39" s="5">
        <f>IFERROR(VLOOKUP(U14Mcombined[[#This Row],[Card]],results0140[],3,FALSE),999)</f>
        <v>34</v>
      </c>
      <c r="T39" s="5">
        <f>IFERROR(VLOOKUP(U14Mcombined[[#This Row],[Card]],results0125[],3,FALSE),999)</f>
        <v>999</v>
      </c>
      <c r="U39" s="5">
        <f>VLOOKUP(U14Mcombined[[#This Row],[pos0124]],pointstable[],2,FALSE)</f>
        <v>75</v>
      </c>
      <c r="V39" s="5">
        <f>VLOOKUP(U14Mcombined[[#This Row],[pos0140]],pointstable[],2,FALSE)</f>
        <v>26</v>
      </c>
      <c r="W39" s="5">
        <f>VLOOKUP(U14Mcombined[[#This Row],[pos0125]],pointstable[],2,FALSE)</f>
        <v>0</v>
      </c>
    </row>
    <row r="40" spans="1:23" x14ac:dyDescent="0.25">
      <c r="A40">
        <v>78276</v>
      </c>
      <c r="B40" t="s">
        <v>92</v>
      </c>
      <c r="C40" t="s">
        <v>31</v>
      </c>
      <c r="D40">
        <v>4</v>
      </c>
      <c r="E40" s="5">
        <f>SUM(LARGE(U40:W40,{1,2}))</f>
        <v>91</v>
      </c>
      <c r="F40" s="5">
        <f>MAX(U14Mcombined[[#This Row],[pts0119]],U14Mcombined[[#This Row],[pts0118]],U14Mcombined[[#This Row],[pts0120]])</f>
        <v>55</v>
      </c>
      <c r="G40" s="5">
        <f>MAX(U14Mcombined[[#This Row],[pts0117]],U14Mcombined[[#This Row],[pts0123]])</f>
        <v>41</v>
      </c>
      <c r="H40" s="5">
        <f>IFERROR(VLOOKUP(U14Mcombined[[#This Row],[Card]],results0117[],3,FALSE),999)</f>
        <v>24</v>
      </c>
      <c r="I40" s="5">
        <f>VLOOKUP(U14Mcombined[[#This Row],[pos0117]],pointstable[],2,FALSE)</f>
        <v>41</v>
      </c>
      <c r="J40" s="5">
        <f>IFERROR(VLOOKUP(U14Mcombined[[#This Row],[Card]],results0119[],3,FALSE),999)</f>
        <v>24</v>
      </c>
      <c r="K40" s="5">
        <f>VLOOKUP(U14Mcombined[[#This Row],[pos0119]],pointstable[],2,FALSE)</f>
        <v>41</v>
      </c>
      <c r="L40" s="5">
        <f>IFERROR(VLOOKUP(U14Mcombined[[#This Row],[Card]],results0118[],3,FALSE),999)</f>
        <v>37</v>
      </c>
      <c r="M40" s="5">
        <f>VLOOKUP(U14Mcombined[[#This Row],[pos0118]],pointstable[],2,FALSE)</f>
        <v>23</v>
      </c>
      <c r="N40" s="5">
        <f>IFERROR(VLOOKUP(U14Mcombined[[#This Row],[Card]],results0123[],3,FALSE),999)</f>
        <v>27</v>
      </c>
      <c r="O40" s="5">
        <f>VLOOKUP(U14Mcombined[[#This Row],[pos0123]],pointstable[],2,FALSE)</f>
        <v>34</v>
      </c>
      <c r="P40" s="5">
        <f>IFERROR(VLOOKUP(U14Mcombined[[#This Row],[Card]],results0120[],3,FALSE),999)</f>
        <v>20</v>
      </c>
      <c r="Q40" s="5">
        <f>VLOOKUP(U14Mcombined[[#This Row],[pos0120]],pointstable[],2,FALSE)</f>
        <v>55</v>
      </c>
      <c r="R40" s="5">
        <f>IFERROR(VLOOKUP(U14Mcombined[[#This Row],[Card]],results0124[],3,FALSE),999)</f>
        <v>18</v>
      </c>
      <c r="S40" s="5">
        <f>IFERROR(VLOOKUP(U14Mcombined[[#This Row],[Card]],results0140[],3,FALSE),999)</f>
        <v>999</v>
      </c>
      <c r="T40" s="5">
        <f>IFERROR(VLOOKUP(U14Mcombined[[#This Row],[Card]],results0125[],3,FALSE),999)</f>
        <v>34</v>
      </c>
      <c r="U40" s="5">
        <f>VLOOKUP(U14Mcombined[[#This Row],[pos0124]],pointstable[],2,FALSE)</f>
        <v>65</v>
      </c>
      <c r="V40" s="5">
        <f>VLOOKUP(U14Mcombined[[#This Row],[pos0140]],pointstable[],2,FALSE)</f>
        <v>0</v>
      </c>
      <c r="W40" s="5">
        <f>VLOOKUP(U14Mcombined[[#This Row],[pos0125]],pointstable[],2,FALSE)</f>
        <v>26</v>
      </c>
    </row>
    <row r="41" spans="1:23" x14ac:dyDescent="0.25">
      <c r="A41">
        <v>80729</v>
      </c>
      <c r="B41" t="s">
        <v>90</v>
      </c>
      <c r="C41" t="s">
        <v>22</v>
      </c>
      <c r="D41">
        <v>4</v>
      </c>
      <c r="E41" s="5">
        <f>SUM(LARGE(U41:W41,{1,2}))</f>
        <v>87</v>
      </c>
      <c r="F41" s="5">
        <f>MAX(U14Mcombined[[#This Row],[pts0119]],U14Mcombined[[#This Row],[pts0118]],U14Mcombined[[#This Row],[pts0120]])</f>
        <v>120</v>
      </c>
      <c r="G41" s="5">
        <f>MAX(U14Mcombined[[#This Row],[pts0117]],U14Mcombined[[#This Row],[pts0123]])</f>
        <v>75</v>
      </c>
      <c r="H41" s="5">
        <f>IFERROR(VLOOKUP(U14Mcombined[[#This Row],[Card]],results0117[],3,FALSE),999)</f>
        <v>16</v>
      </c>
      <c r="I41" s="5">
        <f>VLOOKUP(U14Mcombined[[#This Row],[pos0117]],pointstable[],2,FALSE)</f>
        <v>75</v>
      </c>
      <c r="J41" s="5">
        <f>IFERROR(VLOOKUP(U14Mcombined[[#This Row],[Card]],results0119[],3,FALSE),999)</f>
        <v>11</v>
      </c>
      <c r="K41" s="5">
        <f>VLOOKUP(U14Mcombined[[#This Row],[pos0119]],pointstable[],2,FALSE)</f>
        <v>120</v>
      </c>
      <c r="L41" s="5">
        <f>IFERROR(VLOOKUP(U14Mcombined[[#This Row],[Card]],results0118[],3,FALSE),999)</f>
        <v>23</v>
      </c>
      <c r="M41" s="5">
        <f>VLOOKUP(U14Mcombined[[#This Row],[pos0118]],pointstable[],2,FALSE)</f>
        <v>44</v>
      </c>
      <c r="N41" s="5">
        <f>IFERROR(VLOOKUP(U14Mcombined[[#This Row],[Card]],results0123[],3,FALSE),999)</f>
        <v>24</v>
      </c>
      <c r="O41" s="5">
        <f>VLOOKUP(U14Mcombined[[#This Row],[pos0123]],pointstable[],2,FALSE)</f>
        <v>41</v>
      </c>
      <c r="P41" s="5">
        <f>IFERROR(VLOOKUP(U14Mcombined[[#This Row],[Card]],results0120[],3,FALSE),999)</f>
        <v>15</v>
      </c>
      <c r="Q41" s="5">
        <f>VLOOKUP(U14Mcombined[[#This Row],[pos0120]],pointstable[],2,FALSE)</f>
        <v>80</v>
      </c>
      <c r="R41" s="5">
        <f>IFERROR(VLOOKUP(U14Mcombined[[#This Row],[Card]],results0124[],3,FALSE),999)</f>
        <v>26</v>
      </c>
      <c r="S41" s="5">
        <f>IFERROR(VLOOKUP(U14Mcombined[[#This Row],[Card]],results0140[],3,FALSE),999)</f>
        <v>999</v>
      </c>
      <c r="T41" s="5">
        <f>IFERROR(VLOOKUP(U14Mcombined[[#This Row],[Card]],results0125[],3,FALSE),999)</f>
        <v>21</v>
      </c>
      <c r="U41" s="5">
        <f>VLOOKUP(U14Mcombined[[#This Row],[pos0124]],pointstable[],2,FALSE)</f>
        <v>36</v>
      </c>
      <c r="V41" s="5">
        <f>VLOOKUP(U14Mcombined[[#This Row],[pos0140]],pointstable[],2,FALSE)</f>
        <v>0</v>
      </c>
      <c r="W41" s="5">
        <f>VLOOKUP(U14Mcombined[[#This Row],[pos0125]],pointstable[],2,FALSE)</f>
        <v>51</v>
      </c>
    </row>
    <row r="42" spans="1:23" x14ac:dyDescent="0.25">
      <c r="A42">
        <v>84763</v>
      </c>
      <c r="B42" t="s">
        <v>103</v>
      </c>
      <c r="C42" t="s">
        <v>15</v>
      </c>
      <c r="D42">
        <v>5</v>
      </c>
      <c r="E42" s="5">
        <f>SUM(LARGE(U42:W42,{1,2}))</f>
        <v>88</v>
      </c>
      <c r="F42" s="5">
        <f>MAX(U14Mcombined[[#This Row],[pts0119]],U14Mcombined[[#This Row],[pts0118]],U14Mcombined[[#This Row],[pts0120]])</f>
        <v>70</v>
      </c>
      <c r="G42" s="5">
        <f>MAX(U14Mcombined[[#This Row],[pts0117]],U14Mcombined[[#This Row],[pts0123]])</f>
        <v>65</v>
      </c>
      <c r="H42" s="5">
        <f>IFERROR(VLOOKUP(U14Mcombined[[#This Row],[Card]],results0117[],3,FALSE),999)</f>
        <v>28</v>
      </c>
      <c r="I42" s="5">
        <f>VLOOKUP(U14Mcombined[[#This Row],[pos0117]],pointstable[],2,FALSE)</f>
        <v>32</v>
      </c>
      <c r="J42" s="5">
        <f>IFERROR(VLOOKUP(U14Mcombined[[#This Row],[Card]],results0119[],3,FALSE),999)</f>
        <v>999</v>
      </c>
      <c r="K42" s="5">
        <f>VLOOKUP(U14Mcombined[[#This Row],[pos0119]],pointstable[],2,FALSE)</f>
        <v>0</v>
      </c>
      <c r="L42" s="5">
        <f>IFERROR(VLOOKUP(U14Mcombined[[#This Row],[Card]],results0118[],3,FALSE),999)</f>
        <v>17</v>
      </c>
      <c r="M42" s="5">
        <f>VLOOKUP(U14Mcombined[[#This Row],[pos0118]],pointstable[],2,FALSE)</f>
        <v>70</v>
      </c>
      <c r="N42" s="5">
        <f>IFERROR(VLOOKUP(U14Mcombined[[#This Row],[Card]],results0123[],3,FALSE),999)</f>
        <v>18</v>
      </c>
      <c r="O42" s="5">
        <f>VLOOKUP(U14Mcombined[[#This Row],[pos0123]],pointstable[],2,FALSE)</f>
        <v>65</v>
      </c>
      <c r="P42" s="5">
        <f>IFERROR(VLOOKUP(U14Mcombined[[#This Row],[Card]],results0120[],3,FALSE),999)</f>
        <v>999</v>
      </c>
      <c r="Q42" s="5">
        <f>VLOOKUP(U14Mcombined[[#This Row],[pos0120]],pointstable[],2,FALSE)</f>
        <v>0</v>
      </c>
      <c r="R42" s="5">
        <f>IFERROR(VLOOKUP(U14Mcombined[[#This Row],[Card]],results0124[],3,FALSE),999)</f>
        <v>22</v>
      </c>
      <c r="S42" s="5">
        <f>IFERROR(VLOOKUP(U14Mcombined[[#This Row],[Card]],results0140[],3,FALSE),999)</f>
        <v>999</v>
      </c>
      <c r="T42" s="5">
        <f>IFERROR(VLOOKUP(U14Mcombined[[#This Row],[Card]],results0125[],3,FALSE),999)</f>
        <v>24</v>
      </c>
      <c r="U42" s="5">
        <f>VLOOKUP(U14Mcombined[[#This Row],[pos0124]],pointstable[],2,FALSE)</f>
        <v>47</v>
      </c>
      <c r="V42" s="5">
        <f>VLOOKUP(U14Mcombined[[#This Row],[pos0140]],pointstable[],2,FALSE)</f>
        <v>0</v>
      </c>
      <c r="W42" s="5">
        <f>VLOOKUP(U14Mcombined[[#This Row],[pos0125]],pointstable[],2,FALSE)</f>
        <v>41</v>
      </c>
    </row>
    <row r="43" spans="1:23" x14ac:dyDescent="0.25">
      <c r="A43">
        <v>81879</v>
      </c>
      <c r="B43" t="s">
        <v>146</v>
      </c>
      <c r="C43" t="s">
        <v>22</v>
      </c>
      <c r="D43">
        <v>5</v>
      </c>
      <c r="E43" s="5">
        <f>SUM(LARGE(U43:W43,{1,2}))</f>
        <v>103</v>
      </c>
      <c r="F43" s="5">
        <f>MAX(U14Mcombined[[#This Row],[pts0119]],U14Mcombined[[#This Row],[pts0118]],U14Mcombined[[#This Row],[pts0120]])</f>
        <v>13</v>
      </c>
      <c r="G43" s="5">
        <f>MAX(U14Mcombined[[#This Row],[pts0117]],U14Mcombined[[#This Row],[pts0123]])</f>
        <v>18</v>
      </c>
      <c r="H43" s="5">
        <f>IFERROR(VLOOKUP(U14Mcombined[[#This Row],[Card]],results0117[],3,FALSE),999)</f>
        <v>999</v>
      </c>
      <c r="I43" s="5">
        <f>VLOOKUP(U14Mcombined[[#This Row],[pos0117]],pointstable[],2,FALSE)</f>
        <v>0</v>
      </c>
      <c r="J43" s="5">
        <f>IFERROR(VLOOKUP(U14Mcombined[[#This Row],[Card]],results0119[],3,FALSE),999)</f>
        <v>999</v>
      </c>
      <c r="K43" s="5">
        <f>VLOOKUP(U14Mcombined[[#This Row],[pos0119]],pointstable[],2,FALSE)</f>
        <v>0</v>
      </c>
      <c r="L43" s="5">
        <f>IFERROR(VLOOKUP(U14Mcombined[[#This Row],[Card]],results0118[],3,FALSE),999)</f>
        <v>47</v>
      </c>
      <c r="M43" s="5">
        <f>VLOOKUP(U14Mcombined[[#This Row],[pos0118]],pointstable[],2,FALSE)</f>
        <v>13</v>
      </c>
      <c r="N43" s="5">
        <f>IFERROR(VLOOKUP(U14Mcombined[[#This Row],[Card]],results0123[],3,FALSE),999)</f>
        <v>42</v>
      </c>
      <c r="O43" s="5">
        <f>VLOOKUP(U14Mcombined[[#This Row],[pos0123]],pointstable[],2,FALSE)</f>
        <v>18</v>
      </c>
      <c r="P43" s="5">
        <f>IFERROR(VLOOKUP(U14Mcombined[[#This Row],[Card]],results0120[],3,FALSE),999)</f>
        <v>999</v>
      </c>
      <c r="Q43" s="5">
        <f>VLOOKUP(U14Mcombined[[#This Row],[pos0120]],pointstable[],2,FALSE)</f>
        <v>0</v>
      </c>
      <c r="R43" s="5">
        <f>IFERROR(VLOOKUP(U14Mcombined[[#This Row],[Card]],results0124[],3,FALSE),999)</f>
        <v>37</v>
      </c>
      <c r="S43" s="5">
        <f>IFERROR(VLOOKUP(U14Mcombined[[#This Row],[Card]],results0140[],3,FALSE),999)</f>
        <v>15</v>
      </c>
      <c r="T43" s="5">
        <f>IFERROR(VLOOKUP(U14Mcombined[[#This Row],[Card]],results0125[],3,FALSE),999)</f>
        <v>70</v>
      </c>
      <c r="U43" s="5">
        <f>VLOOKUP(U14Mcombined[[#This Row],[pos0124]],pointstable[],2,FALSE)</f>
        <v>23</v>
      </c>
      <c r="V43" s="5">
        <f>VLOOKUP(U14Mcombined[[#This Row],[pos0140]],pointstable[],2,FALSE)</f>
        <v>80</v>
      </c>
      <c r="W43" s="5">
        <f>VLOOKUP(U14Mcombined[[#This Row],[pos0125]],pointstable[],2,FALSE)</f>
        <v>0</v>
      </c>
    </row>
    <row r="44" spans="1:23" x14ac:dyDescent="0.25">
      <c r="A44">
        <v>74564</v>
      </c>
      <c r="B44" t="s">
        <v>100</v>
      </c>
      <c r="C44" t="s">
        <v>101</v>
      </c>
      <c r="D44">
        <v>5</v>
      </c>
      <c r="E44" s="5">
        <f>SUM(LARGE(U44:W44,{1,2}))</f>
        <v>73</v>
      </c>
      <c r="F44" s="5">
        <f>MAX(U14Mcombined[[#This Row],[pts0119]],U14Mcombined[[#This Row],[pts0118]],U14Mcombined[[#This Row],[pts0120]])</f>
        <v>0</v>
      </c>
      <c r="G44" s="5">
        <f>MAX(U14Mcombined[[#This Row],[pts0117]],U14Mcombined[[#This Row],[pts0123]])</f>
        <v>47</v>
      </c>
      <c r="H44" s="5">
        <f>IFERROR(VLOOKUP(U14Mcombined[[#This Row],[Card]],results0117[],3,FALSE),999)</f>
        <v>999</v>
      </c>
      <c r="I44" s="5">
        <f>VLOOKUP(U14Mcombined[[#This Row],[pos0117]],pointstable[],2,FALSE)</f>
        <v>0</v>
      </c>
      <c r="J44" s="5">
        <f>IFERROR(VLOOKUP(U14Mcombined[[#This Row],[Card]],results0119[],3,FALSE),999)</f>
        <v>999</v>
      </c>
      <c r="K44" s="5">
        <f>VLOOKUP(U14Mcombined[[#This Row],[pos0119]],pointstable[],2,FALSE)</f>
        <v>0</v>
      </c>
      <c r="L44" s="5">
        <f>IFERROR(VLOOKUP(U14Mcombined[[#This Row],[Card]],results0118[],3,FALSE),999)</f>
        <v>999</v>
      </c>
      <c r="M44" s="5">
        <f>VLOOKUP(U14Mcombined[[#This Row],[pos0118]],pointstable[],2,FALSE)</f>
        <v>0</v>
      </c>
      <c r="N44" s="5">
        <f>IFERROR(VLOOKUP(U14Mcombined[[#This Row],[Card]],results0123[],3,FALSE),999)</f>
        <v>22</v>
      </c>
      <c r="O44" s="5">
        <f>VLOOKUP(U14Mcombined[[#This Row],[pos0123]],pointstable[],2,FALSE)</f>
        <v>47</v>
      </c>
      <c r="P44" s="5">
        <f>IFERROR(VLOOKUP(U14Mcombined[[#This Row],[Card]],results0120[],3,FALSE),999)</f>
        <v>999</v>
      </c>
      <c r="Q44" s="5">
        <f>VLOOKUP(U14Mcombined[[#This Row],[pos0120]],pointstable[],2,FALSE)</f>
        <v>0</v>
      </c>
      <c r="R44" s="5">
        <f>IFERROR(VLOOKUP(U14Mcombined[[#This Row],[Card]],results0124[],3,FALSE),999)</f>
        <v>21</v>
      </c>
      <c r="S44" s="5">
        <f>IFERROR(VLOOKUP(U14Mcombined[[#This Row],[Card]],results0140[],3,FALSE),999)</f>
        <v>999</v>
      </c>
      <c r="T44" s="5">
        <f>IFERROR(VLOOKUP(U14Mcombined[[#This Row],[Card]],results0125[],3,FALSE),999)</f>
        <v>38</v>
      </c>
      <c r="U44" s="5">
        <f>VLOOKUP(U14Mcombined[[#This Row],[pos0124]],pointstable[],2,FALSE)</f>
        <v>51</v>
      </c>
      <c r="V44" s="5">
        <f>VLOOKUP(U14Mcombined[[#This Row],[pos0140]],pointstable[],2,FALSE)</f>
        <v>0</v>
      </c>
      <c r="W44" s="5">
        <f>VLOOKUP(U14Mcombined[[#This Row],[pos0125]],pointstable[],2,FALSE)</f>
        <v>22</v>
      </c>
    </row>
    <row r="45" spans="1:23" x14ac:dyDescent="0.25">
      <c r="A45">
        <v>81481</v>
      </c>
      <c r="B45" t="s">
        <v>182</v>
      </c>
      <c r="C45" t="s">
        <v>31</v>
      </c>
      <c r="D45">
        <v>4</v>
      </c>
      <c r="E45" s="5">
        <f>SUM(LARGE(U45:W45,{1,2}))</f>
        <v>82</v>
      </c>
      <c r="F45" s="5">
        <f>MAX(U14Mcombined[[#This Row],[pts0119]],U14Mcombined[[#This Row],[pts0118]],U14Mcombined[[#This Row],[pts0120]])</f>
        <v>32</v>
      </c>
      <c r="G45" s="5">
        <f>MAX(U14Mcombined[[#This Row],[pts0117]],U14Mcombined[[#This Row],[pts0123]])</f>
        <v>30</v>
      </c>
      <c r="H45" s="5">
        <f>IFERROR(VLOOKUP(U14Mcombined[[#This Row],[Card]],results0117[],3,FALSE),999)</f>
        <v>47</v>
      </c>
      <c r="I45" s="5">
        <f>VLOOKUP(U14Mcombined[[#This Row],[pos0117]],pointstable[],2,FALSE)</f>
        <v>13</v>
      </c>
      <c r="J45" s="5">
        <f>IFERROR(VLOOKUP(U14Mcombined[[#This Row],[Card]],results0119[],3,FALSE),999)</f>
        <v>28</v>
      </c>
      <c r="K45" s="5">
        <f>VLOOKUP(U14Mcombined[[#This Row],[pos0119]],pointstable[],2,FALSE)</f>
        <v>32</v>
      </c>
      <c r="L45" s="5">
        <f>IFERROR(VLOOKUP(U14Mcombined[[#This Row],[Card]],results0118[],3,FALSE),999)</f>
        <v>50</v>
      </c>
      <c r="M45" s="5">
        <f>VLOOKUP(U14Mcombined[[#This Row],[pos0118]],pointstable[],2,FALSE)</f>
        <v>10</v>
      </c>
      <c r="N45" s="5">
        <f>IFERROR(VLOOKUP(U14Mcombined[[#This Row],[Card]],results0123[],3,FALSE),999)</f>
        <v>30</v>
      </c>
      <c r="O45" s="5">
        <f>VLOOKUP(U14Mcombined[[#This Row],[pos0123]],pointstable[],2,FALSE)</f>
        <v>30</v>
      </c>
      <c r="P45" s="5">
        <f>IFERROR(VLOOKUP(U14Mcombined[[#This Row],[Card]],results0120[],3,FALSE),999)</f>
        <v>999</v>
      </c>
      <c r="Q45" s="5">
        <f>VLOOKUP(U14Mcombined[[#This Row],[pos0120]],pointstable[],2,FALSE)</f>
        <v>0</v>
      </c>
      <c r="R45" s="5">
        <f>IFERROR(VLOOKUP(U14Mcombined[[#This Row],[Card]],results0124[],3,FALSE),999)</f>
        <v>43</v>
      </c>
      <c r="S45" s="5">
        <f>IFERROR(VLOOKUP(U14Mcombined[[#This Row],[Card]],results0140[],3,FALSE),999)</f>
        <v>18</v>
      </c>
      <c r="T45" s="5">
        <f>IFERROR(VLOOKUP(U14Mcombined[[#This Row],[Card]],results0125[],3,FALSE),999)</f>
        <v>53</v>
      </c>
      <c r="U45" s="5">
        <f>VLOOKUP(U14Mcombined[[#This Row],[pos0124]],pointstable[],2,FALSE)</f>
        <v>17</v>
      </c>
      <c r="V45" s="5">
        <f>VLOOKUP(U14Mcombined[[#This Row],[pos0140]],pointstable[],2,FALSE)</f>
        <v>65</v>
      </c>
      <c r="W45" s="5">
        <f>VLOOKUP(U14Mcombined[[#This Row],[pos0125]],pointstable[],2,FALSE)</f>
        <v>7</v>
      </c>
    </row>
    <row r="46" spans="1:23" x14ac:dyDescent="0.25">
      <c r="A46">
        <v>80714</v>
      </c>
      <c r="B46" t="s">
        <v>152</v>
      </c>
      <c r="C46" t="s">
        <v>22</v>
      </c>
      <c r="D46">
        <v>5</v>
      </c>
      <c r="E46" s="5">
        <f>SUM(LARGE(U46:W46,{1,2}))</f>
        <v>87</v>
      </c>
      <c r="F46" s="5">
        <f>MAX(U14Mcombined[[#This Row],[pts0119]],U14Mcombined[[#This Row],[pts0118]],U14Mcombined[[#This Row],[pts0120]])</f>
        <v>26</v>
      </c>
      <c r="G46" s="5">
        <f>MAX(U14Mcombined[[#This Row],[pts0117]],U14Mcombined[[#This Row],[pts0123]])</f>
        <v>25</v>
      </c>
      <c r="H46" s="5">
        <f>IFERROR(VLOOKUP(U14Mcombined[[#This Row],[Card]],results0117[],3,FALSE),999)</f>
        <v>35</v>
      </c>
      <c r="I46" s="5">
        <f>VLOOKUP(U14Mcombined[[#This Row],[pos0117]],pointstable[],2,FALSE)</f>
        <v>25</v>
      </c>
      <c r="J46" s="5">
        <f>IFERROR(VLOOKUP(U14Mcombined[[#This Row],[Card]],results0119[],3,FALSE),999)</f>
        <v>34</v>
      </c>
      <c r="K46" s="5">
        <f>VLOOKUP(U14Mcombined[[#This Row],[pos0119]],pointstable[],2,FALSE)</f>
        <v>26</v>
      </c>
      <c r="L46" s="5">
        <f>IFERROR(VLOOKUP(U14Mcombined[[#This Row],[Card]],results0118[],3,FALSE),999)</f>
        <v>52</v>
      </c>
      <c r="M46" s="5">
        <f>VLOOKUP(U14Mcombined[[#This Row],[pos0118]],pointstable[],2,FALSE)</f>
        <v>8</v>
      </c>
      <c r="N46" s="5">
        <f>IFERROR(VLOOKUP(U14Mcombined[[#This Row],[Card]],results0123[],3,FALSE),999)</f>
        <v>55</v>
      </c>
      <c r="O46" s="5">
        <f>VLOOKUP(U14Mcombined[[#This Row],[pos0123]],pointstable[],2,FALSE)</f>
        <v>5</v>
      </c>
      <c r="P46" s="5">
        <f>IFERROR(VLOOKUP(U14Mcombined[[#This Row],[Card]],results0120[],3,FALSE),999)</f>
        <v>999</v>
      </c>
      <c r="Q46" s="5">
        <f>VLOOKUP(U14Mcombined[[#This Row],[pos0120]],pointstable[],2,FALSE)</f>
        <v>0</v>
      </c>
      <c r="R46" s="5">
        <f>IFERROR(VLOOKUP(U14Mcombined[[#This Row],[Card]],results0124[],3,FALSE),999)</f>
        <v>64</v>
      </c>
      <c r="S46" s="5">
        <f>IFERROR(VLOOKUP(U14Mcombined[[#This Row],[Card]],results0140[],3,FALSE),999)</f>
        <v>16</v>
      </c>
      <c r="T46" s="5">
        <f>IFERROR(VLOOKUP(U14Mcombined[[#This Row],[Card]],results0125[],3,FALSE),999)</f>
        <v>48</v>
      </c>
      <c r="U46" s="5">
        <f>VLOOKUP(U14Mcombined[[#This Row],[pos0124]],pointstable[],2,FALSE)</f>
        <v>0</v>
      </c>
      <c r="V46" s="5">
        <f>VLOOKUP(U14Mcombined[[#This Row],[pos0140]],pointstable[],2,FALSE)</f>
        <v>75</v>
      </c>
      <c r="W46" s="5">
        <f>VLOOKUP(U14Mcombined[[#This Row],[pos0125]],pointstable[],2,FALSE)</f>
        <v>12</v>
      </c>
    </row>
    <row r="47" spans="1:23" x14ac:dyDescent="0.25">
      <c r="A47">
        <v>82186</v>
      </c>
      <c r="B47" t="s">
        <v>114</v>
      </c>
      <c r="C47" t="s">
        <v>15</v>
      </c>
      <c r="D47">
        <v>4</v>
      </c>
      <c r="E47" s="5">
        <f>SUM(LARGE(U47:W47,{1,2}))</f>
        <v>72</v>
      </c>
      <c r="F47" s="5">
        <f>MAX(U14Mcombined[[#This Row],[pts0119]],U14Mcombined[[#This Row],[pts0118]],U14Mcombined[[#This Row],[pts0120]])</f>
        <v>41</v>
      </c>
      <c r="G47" s="5">
        <f>MAX(U14Mcombined[[#This Row],[pts0117]],U14Mcombined[[#This Row],[pts0123]])</f>
        <v>34</v>
      </c>
      <c r="H47" s="5">
        <f>IFERROR(VLOOKUP(U14Mcombined[[#This Row],[Card]],results0117[],3,FALSE),999)</f>
        <v>27</v>
      </c>
      <c r="I47" s="5">
        <f>VLOOKUP(U14Mcombined[[#This Row],[pos0117]],pointstable[],2,FALSE)</f>
        <v>34</v>
      </c>
      <c r="J47" s="5">
        <f>IFERROR(VLOOKUP(U14Mcombined[[#This Row],[Card]],results0119[],3,FALSE),999)</f>
        <v>999</v>
      </c>
      <c r="K47" s="5">
        <f>VLOOKUP(U14Mcombined[[#This Row],[pos0119]],pointstable[],2,FALSE)</f>
        <v>0</v>
      </c>
      <c r="L47" s="5">
        <f>IFERROR(VLOOKUP(U14Mcombined[[#This Row],[Card]],results0118[],3,FALSE),999)</f>
        <v>999</v>
      </c>
      <c r="M47" s="5">
        <f>VLOOKUP(U14Mcombined[[#This Row],[pos0118]],pointstable[],2,FALSE)</f>
        <v>0</v>
      </c>
      <c r="N47" s="5">
        <f>IFERROR(VLOOKUP(U14Mcombined[[#This Row],[Card]],results0123[],3,FALSE),999)</f>
        <v>999</v>
      </c>
      <c r="O47" s="5">
        <f>VLOOKUP(U14Mcombined[[#This Row],[pos0123]],pointstable[],2,FALSE)</f>
        <v>0</v>
      </c>
      <c r="P47" s="5">
        <f>IFERROR(VLOOKUP(U14Mcombined[[#This Row],[Card]],results0120[],3,FALSE),999)</f>
        <v>24</v>
      </c>
      <c r="Q47" s="5">
        <f>VLOOKUP(U14Mcombined[[#This Row],[pos0120]],pointstable[],2,FALSE)</f>
        <v>41</v>
      </c>
      <c r="R47" s="5">
        <f>IFERROR(VLOOKUP(U14Mcombined[[#This Row],[Card]],results0124[],3,FALSE),999)</f>
        <v>24</v>
      </c>
      <c r="S47" s="5">
        <f>IFERROR(VLOOKUP(U14Mcombined[[#This Row],[Card]],results0140[],3,FALSE),999)</f>
        <v>999</v>
      </c>
      <c r="T47" s="5">
        <f>IFERROR(VLOOKUP(U14Mcombined[[#This Row],[Card]],results0125[],3,FALSE),999)</f>
        <v>29</v>
      </c>
      <c r="U47" s="5">
        <f>VLOOKUP(U14Mcombined[[#This Row],[pos0124]],pointstable[],2,FALSE)</f>
        <v>41</v>
      </c>
      <c r="V47" s="5">
        <f>VLOOKUP(U14Mcombined[[#This Row],[pos0140]],pointstable[],2,FALSE)</f>
        <v>0</v>
      </c>
      <c r="W47" s="5">
        <f>VLOOKUP(U14Mcombined[[#This Row],[pos0125]],pointstable[],2,FALSE)</f>
        <v>31</v>
      </c>
    </row>
    <row r="48" spans="1:23" x14ac:dyDescent="0.25">
      <c r="A48">
        <v>80625</v>
      </c>
      <c r="B48" t="s">
        <v>76</v>
      </c>
      <c r="C48" t="s">
        <v>19</v>
      </c>
      <c r="D48">
        <v>4</v>
      </c>
      <c r="E48" s="5">
        <f>SUM(LARGE(U48:W48,{1,2}))</f>
        <v>51</v>
      </c>
      <c r="F48" s="5">
        <f>MAX(U14Mcombined[[#This Row],[pts0119]],U14Mcombined[[#This Row],[pts0118]],U14Mcombined[[#This Row],[pts0120]])</f>
        <v>70</v>
      </c>
      <c r="G48" s="5">
        <f>MAX(U14Mcombined[[#This Row],[pts0117]],U14Mcombined[[#This Row],[pts0123]])</f>
        <v>75</v>
      </c>
      <c r="H48" s="5">
        <f>IFERROR(VLOOKUP(U14Mcombined[[#This Row],[Card]],results0117[],3,FALSE),999)</f>
        <v>999</v>
      </c>
      <c r="I48" s="5">
        <f>VLOOKUP(U14Mcombined[[#This Row],[pos0117]],pointstable[],2,FALSE)</f>
        <v>0</v>
      </c>
      <c r="J48" s="5">
        <f>IFERROR(VLOOKUP(U14Mcombined[[#This Row],[Card]],results0119[],3,FALSE),999)</f>
        <v>19</v>
      </c>
      <c r="K48" s="5">
        <f>VLOOKUP(U14Mcombined[[#This Row],[pos0119]],pointstable[],2,FALSE)</f>
        <v>60</v>
      </c>
      <c r="L48" s="5">
        <f>IFERROR(VLOOKUP(U14Mcombined[[#This Row],[Card]],results0118[],3,FALSE),999)</f>
        <v>22</v>
      </c>
      <c r="M48" s="5">
        <f>VLOOKUP(U14Mcombined[[#This Row],[pos0118]],pointstable[],2,FALSE)</f>
        <v>47</v>
      </c>
      <c r="N48" s="5">
        <f>IFERROR(VLOOKUP(U14Mcombined[[#This Row],[Card]],results0123[],3,FALSE),999)</f>
        <v>16</v>
      </c>
      <c r="O48" s="5">
        <f>VLOOKUP(U14Mcombined[[#This Row],[pos0123]],pointstable[],2,FALSE)</f>
        <v>75</v>
      </c>
      <c r="P48" s="5">
        <f>IFERROR(VLOOKUP(U14Mcombined[[#This Row],[Card]],results0120[],3,FALSE),999)</f>
        <v>17</v>
      </c>
      <c r="Q48" s="5">
        <f>VLOOKUP(U14Mcombined[[#This Row],[pos0120]],pointstable[],2,FALSE)</f>
        <v>70</v>
      </c>
      <c r="R48" s="5">
        <f>IFERROR(VLOOKUP(U14Mcombined[[#This Row],[Card]],results0124[],3,FALSE),999)</f>
        <v>999</v>
      </c>
      <c r="S48" s="5">
        <f>IFERROR(VLOOKUP(U14Mcombined[[#This Row],[Card]],results0140[],3,FALSE),999)</f>
        <v>999</v>
      </c>
      <c r="T48" s="5">
        <f>IFERROR(VLOOKUP(U14Mcombined[[#This Row],[Card]],results0125[],3,FALSE),999)</f>
        <v>21</v>
      </c>
      <c r="U48" s="5">
        <f>VLOOKUP(U14Mcombined[[#This Row],[pos0124]],pointstable[],2,FALSE)</f>
        <v>0</v>
      </c>
      <c r="V48" s="5">
        <f>VLOOKUP(U14Mcombined[[#This Row],[pos0140]],pointstable[],2,FALSE)</f>
        <v>0</v>
      </c>
      <c r="W48" s="5">
        <f>VLOOKUP(U14Mcombined[[#This Row],[pos0125]],pointstable[],2,FALSE)</f>
        <v>51</v>
      </c>
    </row>
    <row r="49" spans="1:23" x14ac:dyDescent="0.25">
      <c r="A49" s="22">
        <v>81810</v>
      </c>
      <c r="B49" s="24" t="s">
        <v>329</v>
      </c>
      <c r="C49" s="24" t="s">
        <v>54</v>
      </c>
      <c r="D49" s="24">
        <v>4</v>
      </c>
      <c r="E49" s="5">
        <f>SUM(LARGE(U49:W49,{1,2}))</f>
        <v>74</v>
      </c>
      <c r="F49" s="5">
        <f>MAX(U14Mcombined[[#This Row],[pts0119]],U14Mcombined[[#This Row],[pts0118]],U14Mcombined[[#This Row],[pts0120]])</f>
        <v>20</v>
      </c>
      <c r="G49" s="5">
        <f>MAX(U14Mcombined[[#This Row],[pts0117]],U14Mcombined[[#This Row],[pts0123]])</f>
        <v>0</v>
      </c>
      <c r="H49" s="5">
        <f>IFERROR(VLOOKUP(U14Mcombined[[#This Row],[Card]],results0117[],3,FALSE),999)</f>
        <v>999</v>
      </c>
      <c r="I49" s="5">
        <f>VLOOKUP(U14Mcombined[[#This Row],[pos0117]],pointstable[],2,FALSE)</f>
        <v>0</v>
      </c>
      <c r="J49" s="5">
        <f>IFERROR(VLOOKUP(U14Mcombined[[#This Row],[Card]],results0119[],3,FALSE),999)</f>
        <v>41</v>
      </c>
      <c r="K49" s="5">
        <f>VLOOKUP(U14Mcombined[[#This Row],[pos0119]],pointstable[],2,FALSE)</f>
        <v>19</v>
      </c>
      <c r="L49" s="5">
        <f>IFERROR(VLOOKUP(U14Mcombined[[#This Row],[Card]],results0118[],3,FALSE),999)</f>
        <v>40</v>
      </c>
      <c r="M49" s="5">
        <f>VLOOKUP(U14Mcombined[[#This Row],[pos0118]],pointstable[],2,FALSE)</f>
        <v>20</v>
      </c>
      <c r="N49" s="5">
        <f>IFERROR(VLOOKUP(U14Mcombined[[#This Row],[Card]],results0123[],3,FALSE),999)</f>
        <v>999</v>
      </c>
      <c r="O49" s="5">
        <f>VLOOKUP(U14Mcombined[[#This Row],[pos0123]],pointstable[],2,FALSE)</f>
        <v>0</v>
      </c>
      <c r="P49" s="5">
        <f>IFERROR(VLOOKUP(U14Mcombined[[#This Row],[Card]],results0120[],3,FALSE),999)</f>
        <v>999</v>
      </c>
      <c r="Q49" s="5">
        <f>VLOOKUP(U14Mcombined[[#This Row],[pos0120]],pointstable[],2,FALSE)</f>
        <v>0</v>
      </c>
      <c r="R49" s="5">
        <f>IFERROR(VLOOKUP(U14Mcombined[[#This Row],[Card]],results0124[],3,FALSE),999)</f>
        <v>999</v>
      </c>
      <c r="S49" s="5">
        <f>IFERROR(VLOOKUP(U14Mcombined[[#This Row],[Card]],results0140[],3,FALSE),999)</f>
        <v>17</v>
      </c>
      <c r="T49" s="5">
        <f>IFERROR(VLOOKUP(U14Mcombined[[#This Row],[Card]],results0125[],3,FALSE),999)</f>
        <v>56</v>
      </c>
      <c r="U49" s="5">
        <f>VLOOKUP(U14Mcombined[[#This Row],[pos0124]],pointstable[],2,FALSE)</f>
        <v>0</v>
      </c>
      <c r="V49" s="5">
        <f>VLOOKUP(U14Mcombined[[#This Row],[pos0140]],pointstable[],2,FALSE)</f>
        <v>70</v>
      </c>
      <c r="W49" s="5">
        <f>VLOOKUP(U14Mcombined[[#This Row],[pos0125]],pointstable[],2,FALSE)</f>
        <v>4</v>
      </c>
    </row>
    <row r="50" spans="1:23" x14ac:dyDescent="0.25">
      <c r="A50">
        <v>84752</v>
      </c>
      <c r="B50" t="s">
        <v>140</v>
      </c>
      <c r="C50" t="s">
        <v>15</v>
      </c>
      <c r="D50">
        <v>5</v>
      </c>
      <c r="E50" s="5">
        <f>SUM(LARGE(U50:W50,{1,2}))</f>
        <v>71</v>
      </c>
      <c r="F50" s="5">
        <f>MAX(U14Mcombined[[#This Row],[pts0119]],U14Mcombined[[#This Row],[pts0118]],U14Mcombined[[#This Row],[pts0120]])</f>
        <v>16</v>
      </c>
      <c r="G50" s="5">
        <f>MAX(U14Mcombined[[#This Row],[pts0117]],U14Mcombined[[#This Row],[pts0123]])</f>
        <v>16</v>
      </c>
      <c r="H50" s="5">
        <f>IFERROR(VLOOKUP(U14Mcombined[[#This Row],[Card]],results0117[],3,FALSE),999)</f>
        <v>44</v>
      </c>
      <c r="I50" s="5">
        <f>VLOOKUP(U14Mcombined[[#This Row],[pos0117]],pointstable[],2,FALSE)</f>
        <v>16</v>
      </c>
      <c r="J50" s="5">
        <f>IFERROR(VLOOKUP(U14Mcombined[[#This Row],[Card]],results0119[],3,FALSE),999)</f>
        <v>999</v>
      </c>
      <c r="K50" s="5">
        <f>VLOOKUP(U14Mcombined[[#This Row],[pos0119]],pointstable[],2,FALSE)</f>
        <v>0</v>
      </c>
      <c r="L50" s="5">
        <f>IFERROR(VLOOKUP(U14Mcombined[[#This Row],[Card]],results0118[],3,FALSE),999)</f>
        <v>999</v>
      </c>
      <c r="M50" s="5">
        <f>VLOOKUP(U14Mcombined[[#This Row],[pos0118]],pointstable[],2,FALSE)</f>
        <v>0</v>
      </c>
      <c r="N50" s="5">
        <f>IFERROR(VLOOKUP(U14Mcombined[[#This Row],[Card]],results0123[],3,FALSE),999)</f>
        <v>59</v>
      </c>
      <c r="O50" s="5">
        <f>VLOOKUP(U14Mcombined[[#This Row],[pos0123]],pointstable[],2,FALSE)</f>
        <v>1</v>
      </c>
      <c r="P50" s="5">
        <f>IFERROR(VLOOKUP(U14Mcombined[[#This Row],[Card]],results0120[],3,FALSE),999)</f>
        <v>44</v>
      </c>
      <c r="Q50" s="5">
        <f>VLOOKUP(U14Mcombined[[#This Row],[pos0120]],pointstable[],2,FALSE)</f>
        <v>16</v>
      </c>
      <c r="R50" s="5">
        <f>IFERROR(VLOOKUP(U14Mcombined[[#This Row],[Card]],results0124[],3,FALSE),999)</f>
        <v>44</v>
      </c>
      <c r="S50" s="5">
        <f>IFERROR(VLOOKUP(U14Mcombined[[#This Row],[Card]],results0140[],3,FALSE),999)</f>
        <v>20</v>
      </c>
      <c r="T50" s="5">
        <f>IFERROR(VLOOKUP(U14Mcombined[[#This Row],[Card]],results0125[],3,FALSE),999)</f>
        <v>999</v>
      </c>
      <c r="U50" s="5">
        <f>VLOOKUP(U14Mcombined[[#This Row],[pos0124]],pointstable[],2,FALSE)</f>
        <v>16</v>
      </c>
      <c r="V50" s="5">
        <f>VLOOKUP(U14Mcombined[[#This Row],[pos0140]],pointstable[],2,FALSE)</f>
        <v>55</v>
      </c>
      <c r="W50" s="5">
        <f>VLOOKUP(U14Mcombined[[#This Row],[pos0125]],pointstable[],2,FALSE)</f>
        <v>0</v>
      </c>
    </row>
    <row r="51" spans="1:23" x14ac:dyDescent="0.25">
      <c r="A51">
        <v>80618</v>
      </c>
      <c r="B51" t="s">
        <v>123</v>
      </c>
      <c r="C51" t="s">
        <v>19</v>
      </c>
      <c r="D51">
        <v>4</v>
      </c>
      <c r="E51" s="5">
        <f>SUM(LARGE(U51:W51,{1,2}))</f>
        <v>59</v>
      </c>
      <c r="F51" s="5">
        <f>MAX(U14Mcombined[[#This Row],[pts0119]],U14Mcombined[[#This Row],[pts0118]],U14Mcombined[[#This Row],[pts0120]])</f>
        <v>32</v>
      </c>
      <c r="G51" s="5">
        <f>MAX(U14Mcombined[[#This Row],[pts0117]],U14Mcombined[[#This Row],[pts0123]])</f>
        <v>8</v>
      </c>
      <c r="H51" s="5">
        <f>IFERROR(VLOOKUP(U14Mcombined[[#This Row],[Card]],results0117[],3,FALSE),999)</f>
        <v>999</v>
      </c>
      <c r="I51" s="5">
        <f>VLOOKUP(U14Mcombined[[#This Row],[pos0117]],pointstable[],2,FALSE)</f>
        <v>0</v>
      </c>
      <c r="J51" s="5">
        <f>IFERROR(VLOOKUP(U14Mcombined[[#This Row],[Card]],results0119[],3,FALSE),999)</f>
        <v>999</v>
      </c>
      <c r="K51" s="5">
        <f>VLOOKUP(U14Mcombined[[#This Row],[pos0119]],pointstable[],2,FALSE)</f>
        <v>0</v>
      </c>
      <c r="L51" s="5">
        <f>IFERROR(VLOOKUP(U14Mcombined[[#This Row],[Card]],results0118[],3,FALSE),999)</f>
        <v>28</v>
      </c>
      <c r="M51" s="5">
        <f>VLOOKUP(U14Mcombined[[#This Row],[pos0118]],pointstable[],2,FALSE)</f>
        <v>32</v>
      </c>
      <c r="N51" s="5">
        <f>IFERROR(VLOOKUP(U14Mcombined[[#This Row],[Card]],results0123[],3,FALSE),999)</f>
        <v>52</v>
      </c>
      <c r="O51" s="5">
        <f>VLOOKUP(U14Mcombined[[#This Row],[pos0123]],pointstable[],2,FALSE)</f>
        <v>8</v>
      </c>
      <c r="P51" s="5">
        <f>IFERROR(VLOOKUP(U14Mcombined[[#This Row],[Card]],results0120[],3,FALSE),999)</f>
        <v>999</v>
      </c>
      <c r="Q51" s="5">
        <f>VLOOKUP(U14Mcombined[[#This Row],[pos0120]],pointstable[],2,FALSE)</f>
        <v>0</v>
      </c>
      <c r="R51" s="5">
        <f>IFERROR(VLOOKUP(U14Mcombined[[#This Row],[Card]],results0124[],3,FALSE),999)</f>
        <v>25</v>
      </c>
      <c r="S51" s="5">
        <f>IFERROR(VLOOKUP(U14Mcombined[[#This Row],[Card]],results0140[],3,FALSE),999)</f>
        <v>999</v>
      </c>
      <c r="T51" s="5">
        <f>IFERROR(VLOOKUP(U14Mcombined[[#This Row],[Card]],results0125[],3,FALSE),999)</f>
        <v>39</v>
      </c>
      <c r="U51" s="5">
        <f>VLOOKUP(U14Mcombined[[#This Row],[pos0124]],pointstable[],2,FALSE)</f>
        <v>38</v>
      </c>
      <c r="V51" s="5">
        <f>VLOOKUP(U14Mcombined[[#This Row],[pos0140]],pointstable[],2,FALSE)</f>
        <v>0</v>
      </c>
      <c r="W51" s="5">
        <f>VLOOKUP(U14Mcombined[[#This Row],[pos0125]],pointstable[],2,FALSE)</f>
        <v>21</v>
      </c>
    </row>
    <row r="52" spans="1:23" x14ac:dyDescent="0.25">
      <c r="A52">
        <v>82441</v>
      </c>
      <c r="B52" t="s">
        <v>96</v>
      </c>
      <c r="C52" t="s">
        <v>15</v>
      </c>
      <c r="D52">
        <v>4</v>
      </c>
      <c r="E52" s="5">
        <f>SUM(LARGE(U52:W52,{1,2}))</f>
        <v>44</v>
      </c>
      <c r="F52" s="5">
        <f>MAX(U14Mcombined[[#This Row],[pts0119]],U14Mcombined[[#This Row],[pts0118]],U14Mcombined[[#This Row],[pts0120]])</f>
        <v>30</v>
      </c>
      <c r="G52" s="5">
        <f>MAX(U14Mcombined[[#This Row],[pts0117]],U14Mcombined[[#This Row],[pts0123]])</f>
        <v>0</v>
      </c>
      <c r="H52" s="5">
        <f>IFERROR(VLOOKUP(U14Mcombined[[#This Row],[Card]],results0117[],3,FALSE),999)</f>
        <v>999</v>
      </c>
      <c r="I52" s="5">
        <f>VLOOKUP(U14Mcombined[[#This Row],[pos0117]],pointstable[],2,FALSE)</f>
        <v>0</v>
      </c>
      <c r="J52" s="5">
        <f>IFERROR(VLOOKUP(U14Mcombined[[#This Row],[Card]],results0119[],3,FALSE),999)</f>
        <v>999</v>
      </c>
      <c r="K52" s="5">
        <f>VLOOKUP(U14Mcombined[[#This Row],[pos0119]],pointstable[],2,FALSE)</f>
        <v>0</v>
      </c>
      <c r="L52" s="5">
        <f>IFERROR(VLOOKUP(U14Mcombined[[#This Row],[Card]],results0118[],3,FALSE),999)</f>
        <v>30</v>
      </c>
      <c r="M52" s="5">
        <f>VLOOKUP(U14Mcombined[[#This Row],[pos0118]],pointstable[],2,FALSE)</f>
        <v>30</v>
      </c>
      <c r="N52" s="5">
        <f>IFERROR(VLOOKUP(U14Mcombined[[#This Row],[Card]],results0123[],3,FALSE),999)</f>
        <v>999</v>
      </c>
      <c r="O52" s="5">
        <f>VLOOKUP(U14Mcombined[[#This Row],[pos0123]],pointstable[],2,FALSE)</f>
        <v>0</v>
      </c>
      <c r="P52" s="5">
        <f>IFERROR(VLOOKUP(U14Mcombined[[#This Row],[Card]],results0120[],3,FALSE),999)</f>
        <v>999</v>
      </c>
      <c r="Q52" s="5">
        <f>VLOOKUP(U14Mcombined[[#This Row],[pos0120]],pointstable[],2,FALSE)</f>
        <v>0</v>
      </c>
      <c r="R52" s="5">
        <f>IFERROR(VLOOKUP(U14Mcombined[[#This Row],[Card]],results0124[],3,FALSE),999)</f>
        <v>23</v>
      </c>
      <c r="S52" s="5">
        <f>IFERROR(VLOOKUP(U14Mcombined[[#This Row],[Card]],results0140[],3,FALSE),999)</f>
        <v>999</v>
      </c>
      <c r="T52" s="5">
        <f>IFERROR(VLOOKUP(U14Mcombined[[#This Row],[Card]],results0125[],3,FALSE),999)</f>
        <v>999</v>
      </c>
      <c r="U52" s="5">
        <f>VLOOKUP(U14Mcombined[[#This Row],[pos0124]],pointstable[],2,FALSE)</f>
        <v>44</v>
      </c>
      <c r="V52" s="5">
        <f>VLOOKUP(U14Mcombined[[#This Row],[pos0140]],pointstable[],2,FALSE)</f>
        <v>0</v>
      </c>
      <c r="W52" s="5">
        <f>VLOOKUP(U14Mcombined[[#This Row],[pos0125]],pointstable[],2,FALSE)</f>
        <v>0</v>
      </c>
    </row>
    <row r="53" spans="1:23" x14ac:dyDescent="0.25">
      <c r="A53">
        <v>78181</v>
      </c>
      <c r="B53" t="s">
        <v>138</v>
      </c>
      <c r="C53" t="s">
        <v>61</v>
      </c>
      <c r="D53">
        <v>4</v>
      </c>
      <c r="E53" s="5">
        <f>SUM(LARGE(U53:W53,{1,2}))</f>
        <v>59</v>
      </c>
      <c r="F53" s="5">
        <f>MAX(U14Mcombined[[#This Row],[pts0119]],U14Mcombined[[#This Row],[pts0118]],U14Mcombined[[#This Row],[pts0120]])</f>
        <v>31</v>
      </c>
      <c r="G53" s="5">
        <f>MAX(U14Mcombined[[#This Row],[pts0117]],U14Mcombined[[#This Row],[pts0123]])</f>
        <v>11</v>
      </c>
      <c r="H53" s="5">
        <f>IFERROR(VLOOKUP(U14Mcombined[[#This Row],[Card]],results0117[],3,FALSE),999)</f>
        <v>55</v>
      </c>
      <c r="I53" s="5">
        <f>VLOOKUP(U14Mcombined[[#This Row],[pos0117]],pointstable[],2,FALSE)</f>
        <v>5</v>
      </c>
      <c r="J53" s="5">
        <f>IFERROR(VLOOKUP(U14Mcombined[[#This Row],[Card]],results0119[],3,FALSE),999)</f>
        <v>999</v>
      </c>
      <c r="K53" s="5">
        <f>VLOOKUP(U14Mcombined[[#This Row],[pos0119]],pointstable[],2,FALSE)</f>
        <v>0</v>
      </c>
      <c r="L53" s="5">
        <f>IFERROR(VLOOKUP(U14Mcombined[[#This Row],[Card]],results0118[],3,FALSE),999)</f>
        <v>65</v>
      </c>
      <c r="M53" s="5">
        <f>VLOOKUP(U14Mcombined[[#This Row],[pos0118]],pointstable[],2,FALSE)</f>
        <v>0</v>
      </c>
      <c r="N53" s="5">
        <f>IFERROR(VLOOKUP(U14Mcombined[[#This Row],[Card]],results0123[],3,FALSE),999)</f>
        <v>49</v>
      </c>
      <c r="O53" s="5">
        <f>VLOOKUP(U14Mcombined[[#This Row],[pos0123]],pointstable[],2,FALSE)</f>
        <v>11</v>
      </c>
      <c r="P53" s="5">
        <f>IFERROR(VLOOKUP(U14Mcombined[[#This Row],[Card]],results0120[],3,FALSE),999)</f>
        <v>29</v>
      </c>
      <c r="Q53" s="5">
        <f>VLOOKUP(U14Mcombined[[#This Row],[pos0120]],pointstable[],2,FALSE)</f>
        <v>31</v>
      </c>
      <c r="R53" s="5">
        <f>IFERROR(VLOOKUP(U14Mcombined[[#This Row],[Card]],results0124[],3,FALSE),999)</f>
        <v>48</v>
      </c>
      <c r="S53" s="5">
        <f>IFERROR(VLOOKUP(U14Mcombined[[#This Row],[Card]],results0140[],3,FALSE),999)</f>
        <v>22</v>
      </c>
      <c r="T53" s="5">
        <f>IFERROR(VLOOKUP(U14Mcombined[[#This Row],[Card]],results0125[],3,FALSE),999)</f>
        <v>55</v>
      </c>
      <c r="U53" s="5">
        <f>VLOOKUP(U14Mcombined[[#This Row],[pos0124]],pointstable[],2,FALSE)</f>
        <v>12</v>
      </c>
      <c r="V53" s="5">
        <f>VLOOKUP(U14Mcombined[[#This Row],[pos0140]],pointstable[],2,FALSE)</f>
        <v>47</v>
      </c>
      <c r="W53" s="5">
        <f>VLOOKUP(U14Mcombined[[#This Row],[pos0125]],pointstable[],2,FALSE)</f>
        <v>5</v>
      </c>
    </row>
    <row r="54" spans="1:23" x14ac:dyDescent="0.25">
      <c r="A54">
        <v>80630</v>
      </c>
      <c r="B54" t="s">
        <v>188</v>
      </c>
      <c r="C54" t="s">
        <v>19</v>
      </c>
      <c r="D54">
        <v>4</v>
      </c>
      <c r="E54" s="5">
        <f>SUM(LARGE(U54:W54,{1,2}))</f>
        <v>61</v>
      </c>
      <c r="F54" s="5">
        <f>MAX(U14Mcombined[[#This Row],[pts0119]],U14Mcombined[[#This Row],[pts0118]],U14Mcombined[[#This Row],[pts0120]])</f>
        <v>23</v>
      </c>
      <c r="G54" s="5">
        <f>MAX(U14Mcombined[[#This Row],[pts0117]],U14Mcombined[[#This Row],[pts0123]])</f>
        <v>0</v>
      </c>
      <c r="H54" s="5">
        <f>IFERROR(VLOOKUP(U14Mcombined[[#This Row],[Card]],results0117[],3,FALSE),999)</f>
        <v>70</v>
      </c>
      <c r="I54" s="5">
        <f>VLOOKUP(U14Mcombined[[#This Row],[pos0117]],pointstable[],2,FALSE)</f>
        <v>0</v>
      </c>
      <c r="J54" s="5">
        <f>IFERROR(VLOOKUP(U14Mcombined[[#This Row],[Card]],results0119[],3,FALSE),999)</f>
        <v>48</v>
      </c>
      <c r="K54" s="5">
        <f>VLOOKUP(U14Mcombined[[#This Row],[pos0119]],pointstable[],2,FALSE)</f>
        <v>12</v>
      </c>
      <c r="L54" s="5">
        <f>IFERROR(VLOOKUP(U14Mcombined[[#This Row],[Card]],results0118[],3,FALSE),999)</f>
        <v>59</v>
      </c>
      <c r="M54" s="5">
        <f>VLOOKUP(U14Mcombined[[#This Row],[pos0118]],pointstable[],2,FALSE)</f>
        <v>1</v>
      </c>
      <c r="N54" s="5">
        <f>IFERROR(VLOOKUP(U14Mcombined[[#This Row],[Card]],results0123[],3,FALSE),999)</f>
        <v>999</v>
      </c>
      <c r="O54" s="5">
        <f>VLOOKUP(U14Mcombined[[#This Row],[pos0123]],pointstable[],2,FALSE)</f>
        <v>0</v>
      </c>
      <c r="P54" s="5">
        <f>IFERROR(VLOOKUP(U14Mcombined[[#This Row],[Card]],results0120[],3,FALSE),999)</f>
        <v>37</v>
      </c>
      <c r="Q54" s="5">
        <f>VLOOKUP(U14Mcombined[[#This Row],[pos0120]],pointstable[],2,FALSE)</f>
        <v>23</v>
      </c>
      <c r="R54" s="5">
        <f>IFERROR(VLOOKUP(U14Mcombined[[#This Row],[Card]],results0124[],3,FALSE),999)</f>
        <v>59</v>
      </c>
      <c r="S54" s="5">
        <f>IFERROR(VLOOKUP(U14Mcombined[[#This Row],[Card]],results0140[],3,FALSE),999)</f>
        <v>19</v>
      </c>
      <c r="T54" s="5">
        <f>IFERROR(VLOOKUP(U14Mcombined[[#This Row],[Card]],results0125[],3,FALSE),999)</f>
        <v>60</v>
      </c>
      <c r="U54" s="5">
        <f>VLOOKUP(U14Mcombined[[#This Row],[pos0124]],pointstable[],2,FALSE)</f>
        <v>1</v>
      </c>
      <c r="V54" s="5">
        <f>VLOOKUP(U14Mcombined[[#This Row],[pos0140]],pointstable[],2,FALSE)</f>
        <v>60</v>
      </c>
      <c r="W54" s="5">
        <f>VLOOKUP(U14Mcombined[[#This Row],[pos0125]],pointstable[],2,FALSE)</f>
        <v>1</v>
      </c>
    </row>
    <row r="55" spans="1:23" x14ac:dyDescent="0.25">
      <c r="A55">
        <v>80824</v>
      </c>
      <c r="B55" t="s">
        <v>80</v>
      </c>
      <c r="C55" t="s">
        <v>54</v>
      </c>
      <c r="D55">
        <v>4</v>
      </c>
      <c r="E55" s="5">
        <f>SUM(LARGE(U55:W55,{1,2}))</f>
        <v>31</v>
      </c>
      <c r="F55" s="5">
        <f>MAX(U14Mcombined[[#This Row],[pts0119]],U14Mcombined[[#This Row],[pts0118]],U14Mcombined[[#This Row],[pts0120]])</f>
        <v>65</v>
      </c>
      <c r="G55" s="5">
        <f>MAX(U14Mcombined[[#This Row],[pts0117]],U14Mcombined[[#This Row],[pts0123]])</f>
        <v>100</v>
      </c>
      <c r="H55" s="5">
        <f>IFERROR(VLOOKUP(U14Mcombined[[#This Row],[Card]],results0117[],3,FALSE),999)</f>
        <v>13</v>
      </c>
      <c r="I55" s="5">
        <f>VLOOKUP(U14Mcombined[[#This Row],[pos0117]],pointstable[],2,FALSE)</f>
        <v>100</v>
      </c>
      <c r="J55" s="5">
        <f>IFERROR(VLOOKUP(U14Mcombined[[#This Row],[Card]],results0119[],3,FALSE),999)</f>
        <v>18</v>
      </c>
      <c r="K55" s="5">
        <f>VLOOKUP(U14Mcombined[[#This Row],[pos0119]],pointstable[],2,FALSE)</f>
        <v>65</v>
      </c>
      <c r="L55" s="5">
        <f>IFERROR(VLOOKUP(U14Mcombined[[#This Row],[Card]],results0118[],3,FALSE),999)</f>
        <v>999</v>
      </c>
      <c r="M55" s="5">
        <f>VLOOKUP(U14Mcombined[[#This Row],[pos0118]],pointstable[],2,FALSE)</f>
        <v>0</v>
      </c>
      <c r="N55" s="5">
        <f>IFERROR(VLOOKUP(U14Mcombined[[#This Row],[Card]],results0123[],3,FALSE),999)</f>
        <v>17</v>
      </c>
      <c r="O55" s="5">
        <f>VLOOKUP(U14Mcombined[[#This Row],[pos0123]],pointstable[],2,FALSE)</f>
        <v>70</v>
      </c>
      <c r="P55" s="5">
        <f>IFERROR(VLOOKUP(U14Mcombined[[#This Row],[Card]],results0120[],3,FALSE),999)</f>
        <v>999</v>
      </c>
      <c r="Q55" s="5">
        <f>VLOOKUP(U14Mcombined[[#This Row],[pos0120]],pointstable[],2,FALSE)</f>
        <v>0</v>
      </c>
      <c r="R55" s="5">
        <f>IFERROR(VLOOKUP(U14Mcombined[[#This Row],[Card]],results0124[],3,FALSE),999)</f>
        <v>29</v>
      </c>
      <c r="S55" s="5">
        <f>IFERROR(VLOOKUP(U14Mcombined[[#This Row],[Card]],results0140[],3,FALSE),999)</f>
        <v>999</v>
      </c>
      <c r="T55" s="5">
        <f>IFERROR(VLOOKUP(U14Mcombined[[#This Row],[Card]],results0125[],3,FALSE),999)</f>
        <v>999</v>
      </c>
      <c r="U55" s="5">
        <f>VLOOKUP(U14Mcombined[[#This Row],[pos0124]],pointstable[],2,FALSE)</f>
        <v>31</v>
      </c>
      <c r="V55" s="5">
        <f>VLOOKUP(U14Mcombined[[#This Row],[pos0140]],pointstable[],2,FALSE)</f>
        <v>0</v>
      </c>
      <c r="W55" s="5">
        <f>VLOOKUP(U14Mcombined[[#This Row],[pos0125]],pointstable[],2,FALSE)</f>
        <v>0</v>
      </c>
    </row>
    <row r="56" spans="1:23" x14ac:dyDescent="0.25">
      <c r="A56">
        <v>82403</v>
      </c>
      <c r="B56" t="s">
        <v>175</v>
      </c>
      <c r="C56" t="s">
        <v>19</v>
      </c>
      <c r="D56">
        <v>5</v>
      </c>
      <c r="E56" s="5">
        <f>SUM(LARGE(U56:W56,{1,2}))</f>
        <v>57</v>
      </c>
      <c r="F56" s="5">
        <f>MAX(U14Mcombined[[#This Row],[pts0119]],U14Mcombined[[#This Row],[pts0118]],U14Mcombined[[#This Row],[pts0120]])</f>
        <v>3</v>
      </c>
      <c r="G56" s="5">
        <f>MAX(U14Mcombined[[#This Row],[pts0117]],U14Mcombined[[#This Row],[pts0123]])</f>
        <v>26</v>
      </c>
      <c r="H56" s="5">
        <f>IFERROR(VLOOKUP(U14Mcombined[[#This Row],[Card]],results0117[],3,FALSE),999)</f>
        <v>41</v>
      </c>
      <c r="I56" s="5">
        <f>VLOOKUP(U14Mcombined[[#This Row],[pos0117]],pointstable[],2,FALSE)</f>
        <v>19</v>
      </c>
      <c r="J56" s="5">
        <f>IFERROR(VLOOKUP(U14Mcombined[[#This Row],[Card]],results0119[],3,FALSE),999)</f>
        <v>999</v>
      </c>
      <c r="K56" s="5">
        <f>VLOOKUP(U14Mcombined[[#This Row],[pos0119]],pointstable[],2,FALSE)</f>
        <v>0</v>
      </c>
      <c r="L56" s="5">
        <f>IFERROR(VLOOKUP(U14Mcombined[[#This Row],[Card]],results0118[],3,FALSE),999)</f>
        <v>57</v>
      </c>
      <c r="M56" s="5">
        <f>VLOOKUP(U14Mcombined[[#This Row],[pos0118]],pointstable[],2,FALSE)</f>
        <v>3</v>
      </c>
      <c r="N56" s="5">
        <f>IFERROR(VLOOKUP(U14Mcombined[[#This Row],[Card]],results0123[],3,FALSE),999)</f>
        <v>34</v>
      </c>
      <c r="O56" s="5">
        <f>VLOOKUP(U14Mcombined[[#This Row],[pos0123]],pointstable[],2,FALSE)</f>
        <v>26</v>
      </c>
      <c r="P56" s="5">
        <f>IFERROR(VLOOKUP(U14Mcombined[[#This Row],[Card]],results0120[],3,FALSE),999)</f>
        <v>999</v>
      </c>
      <c r="Q56" s="5">
        <f>VLOOKUP(U14Mcombined[[#This Row],[pos0120]],pointstable[],2,FALSE)</f>
        <v>0</v>
      </c>
      <c r="R56" s="5">
        <f>IFERROR(VLOOKUP(U14Mcombined[[#This Row],[Card]],results0124[],3,FALSE),999)</f>
        <v>54</v>
      </c>
      <c r="S56" s="5">
        <f>IFERROR(VLOOKUP(U14Mcombined[[#This Row],[Card]],results0140[],3,FALSE),999)</f>
        <v>21</v>
      </c>
      <c r="T56" s="5">
        <f>IFERROR(VLOOKUP(U14Mcombined[[#This Row],[Card]],results0125[],3,FALSE),999)</f>
        <v>999</v>
      </c>
      <c r="U56" s="5">
        <f>VLOOKUP(U14Mcombined[[#This Row],[pos0124]],pointstable[],2,FALSE)</f>
        <v>6</v>
      </c>
      <c r="V56" s="5">
        <f>VLOOKUP(U14Mcombined[[#This Row],[pos0140]],pointstable[],2,FALSE)</f>
        <v>51</v>
      </c>
      <c r="W56" s="5">
        <f>VLOOKUP(U14Mcombined[[#This Row],[pos0125]],pointstable[],2,FALSE)</f>
        <v>0</v>
      </c>
    </row>
    <row r="57" spans="1:23" x14ac:dyDescent="0.25">
      <c r="A57">
        <v>81705</v>
      </c>
      <c r="B57" t="s">
        <v>165</v>
      </c>
      <c r="C57" s="5" t="s">
        <v>31</v>
      </c>
      <c r="D57">
        <v>4</v>
      </c>
      <c r="E57" s="5">
        <f>SUM(LARGE(U57:W57,{1,2}))</f>
        <v>57</v>
      </c>
      <c r="F57" s="5">
        <f>MAX(U14Mcombined[[#This Row],[pts0119]],U14Mcombined[[#This Row],[pts0118]],U14Mcombined[[#This Row],[pts0120]])</f>
        <v>18</v>
      </c>
      <c r="G57" s="5">
        <f>MAX(U14Mcombined[[#This Row],[pts0117]],U14Mcombined[[#This Row],[pts0123]])</f>
        <v>9</v>
      </c>
      <c r="H57" s="5">
        <f>IFERROR(VLOOKUP(U14Mcombined[[#This Row],[Card]],results0117[],3,FALSE),999)</f>
        <v>51</v>
      </c>
      <c r="I57" s="5">
        <f>VLOOKUP(U14Mcombined[[#This Row],[pos0117]],pointstable[],2,FALSE)</f>
        <v>9</v>
      </c>
      <c r="J57" s="5">
        <f>IFERROR(VLOOKUP(U14Mcombined[[#This Row],[Card]],results0119[],3,FALSE),999)</f>
        <v>42</v>
      </c>
      <c r="K57" s="5">
        <f>VLOOKUP(U14Mcombined[[#This Row],[pos0119]],pointstable[],2,FALSE)</f>
        <v>18</v>
      </c>
      <c r="L57" s="5">
        <f>IFERROR(VLOOKUP(U14Mcombined[[#This Row],[Card]],results0118[],3,FALSE),999)</f>
        <v>999</v>
      </c>
      <c r="M57" s="5">
        <f>VLOOKUP(U14Mcombined[[#This Row],[pos0118]],pointstable[],2,FALSE)</f>
        <v>0</v>
      </c>
      <c r="N57" s="5">
        <f>IFERROR(VLOOKUP(U14Mcombined[[#This Row],[Card]],results0123[],3,FALSE),999)</f>
        <v>999</v>
      </c>
      <c r="O57" s="5">
        <f>VLOOKUP(U14Mcombined[[#This Row],[pos0123]],pointstable[],2,FALSE)</f>
        <v>0</v>
      </c>
      <c r="P57" s="5">
        <f>IFERROR(VLOOKUP(U14Mcombined[[#This Row],[Card]],results0120[],3,FALSE),999)</f>
        <v>999</v>
      </c>
      <c r="Q57" s="5">
        <f>VLOOKUP(U14Mcombined[[#This Row],[pos0120]],pointstable[],2,FALSE)</f>
        <v>0</v>
      </c>
      <c r="R57" s="5">
        <f>IFERROR(VLOOKUP(U14Mcombined[[#This Row],[Card]],results0124[],3,FALSE),999)</f>
        <v>33</v>
      </c>
      <c r="S57" s="5">
        <f>IFERROR(VLOOKUP(U14Mcombined[[#This Row],[Card]],results0140[],3,FALSE),999)</f>
        <v>999</v>
      </c>
      <c r="T57" s="5">
        <f>IFERROR(VLOOKUP(U14Mcombined[[#This Row],[Card]],results0125[],3,FALSE),999)</f>
        <v>30</v>
      </c>
      <c r="U57" s="5">
        <f>VLOOKUP(U14Mcombined[[#This Row],[pos0124]],pointstable[],2,FALSE)</f>
        <v>27</v>
      </c>
      <c r="V57" s="5">
        <f>VLOOKUP(U14Mcombined[[#This Row],[pos0140]],pointstable[],2,FALSE)</f>
        <v>0</v>
      </c>
      <c r="W57" s="5">
        <f>VLOOKUP(U14Mcombined[[#This Row],[pos0125]],pointstable[],2,FALSE)</f>
        <v>30</v>
      </c>
    </row>
    <row r="58" spans="1:23" x14ac:dyDescent="0.25">
      <c r="A58">
        <v>84722</v>
      </c>
      <c r="B58" t="s">
        <v>169</v>
      </c>
      <c r="C58" t="s">
        <v>61</v>
      </c>
      <c r="D58">
        <v>4</v>
      </c>
      <c r="E58" s="5">
        <f>SUM(LARGE(U58:W58,{1,2}))</f>
        <v>56</v>
      </c>
      <c r="F58" s="5">
        <f>MAX(U14Mcombined[[#This Row],[pts0119]],U14Mcombined[[#This Row],[pts0118]],U14Mcombined[[#This Row],[pts0120]])</f>
        <v>11</v>
      </c>
      <c r="G58" s="5">
        <f>MAX(U14Mcombined[[#This Row],[pts0117]],U14Mcombined[[#This Row],[pts0123]])</f>
        <v>14</v>
      </c>
      <c r="H58" s="5">
        <f>IFERROR(VLOOKUP(U14Mcombined[[#This Row],[Card]],results0117[],3,FALSE),999)</f>
        <v>67</v>
      </c>
      <c r="I58" s="5">
        <f>VLOOKUP(U14Mcombined[[#This Row],[pos0117]],pointstable[],2,FALSE)</f>
        <v>0</v>
      </c>
      <c r="J58" s="5">
        <f>IFERROR(VLOOKUP(U14Mcombined[[#This Row],[Card]],results0119[],3,FALSE),999)</f>
        <v>49</v>
      </c>
      <c r="K58" s="5">
        <f>VLOOKUP(U14Mcombined[[#This Row],[pos0119]],pointstable[],2,FALSE)</f>
        <v>11</v>
      </c>
      <c r="L58" s="5">
        <f>IFERROR(VLOOKUP(U14Mcombined[[#This Row],[Card]],results0118[],3,FALSE),999)</f>
        <v>53</v>
      </c>
      <c r="M58" s="5">
        <f>VLOOKUP(U14Mcombined[[#This Row],[pos0118]],pointstable[],2,FALSE)</f>
        <v>7</v>
      </c>
      <c r="N58" s="5">
        <f>IFERROR(VLOOKUP(U14Mcombined[[#This Row],[Card]],results0123[],3,FALSE),999)</f>
        <v>46</v>
      </c>
      <c r="O58" s="5">
        <f>VLOOKUP(U14Mcombined[[#This Row],[pos0123]],pointstable[],2,FALSE)</f>
        <v>14</v>
      </c>
      <c r="P58" s="5">
        <f>IFERROR(VLOOKUP(U14Mcombined[[#This Row],[Card]],results0120[],3,FALSE),999)</f>
        <v>999</v>
      </c>
      <c r="Q58" s="5">
        <f>VLOOKUP(U14Mcombined[[#This Row],[pos0120]],pointstable[],2,FALSE)</f>
        <v>0</v>
      </c>
      <c r="R58" s="5">
        <f>IFERROR(VLOOKUP(U14Mcombined[[#This Row],[Card]],results0124[],3,FALSE),999)</f>
        <v>42</v>
      </c>
      <c r="S58" s="5">
        <f>IFERROR(VLOOKUP(U14Mcombined[[#This Row],[Card]],results0140[],3,FALSE),999)</f>
        <v>25</v>
      </c>
      <c r="T58" s="5">
        <f>IFERROR(VLOOKUP(U14Mcombined[[#This Row],[Card]],results0125[],3,FALSE),999)</f>
        <v>62</v>
      </c>
      <c r="U58" s="5">
        <f>VLOOKUP(U14Mcombined[[#This Row],[pos0124]],pointstable[],2,FALSE)</f>
        <v>18</v>
      </c>
      <c r="V58" s="5">
        <f>VLOOKUP(U14Mcombined[[#This Row],[pos0140]],pointstable[],2,FALSE)</f>
        <v>38</v>
      </c>
      <c r="W58" s="5">
        <f>VLOOKUP(U14Mcombined[[#This Row],[pos0125]],pointstable[],2,FALSE)</f>
        <v>0</v>
      </c>
    </row>
    <row r="59" spans="1:23" x14ac:dyDescent="0.25">
      <c r="A59">
        <v>80629</v>
      </c>
      <c r="B59" t="s">
        <v>144</v>
      </c>
      <c r="C59" t="s">
        <v>19</v>
      </c>
      <c r="D59">
        <v>5</v>
      </c>
      <c r="E59" s="5">
        <f>SUM(LARGE(U59:W59,{1,2}))</f>
        <v>56</v>
      </c>
      <c r="F59" s="5">
        <f>MAX(U14Mcombined[[#This Row],[pts0119]],U14Mcombined[[#This Row],[pts0118]],U14Mcombined[[#This Row],[pts0120]])</f>
        <v>34</v>
      </c>
      <c r="G59" s="5">
        <f>MAX(U14Mcombined[[#This Row],[pts0117]],U14Mcombined[[#This Row],[pts0123]])</f>
        <v>23</v>
      </c>
      <c r="H59" s="5">
        <f>IFERROR(VLOOKUP(U14Mcombined[[#This Row],[Card]],results0117[],3,FALSE),999)</f>
        <v>49</v>
      </c>
      <c r="I59" s="5">
        <f>VLOOKUP(U14Mcombined[[#This Row],[pos0117]],pointstable[],2,FALSE)</f>
        <v>11</v>
      </c>
      <c r="J59" s="5">
        <f>IFERROR(VLOOKUP(U14Mcombined[[#This Row],[Card]],results0119[],3,FALSE),999)</f>
        <v>27</v>
      </c>
      <c r="K59" s="5">
        <f>VLOOKUP(U14Mcombined[[#This Row],[pos0119]],pointstable[],2,FALSE)</f>
        <v>34</v>
      </c>
      <c r="L59" s="5">
        <f>IFERROR(VLOOKUP(U14Mcombined[[#This Row],[Card]],results0118[],3,FALSE),999)</f>
        <v>84</v>
      </c>
      <c r="M59" s="5">
        <f>VLOOKUP(U14Mcombined[[#This Row],[pos0118]],pointstable[],2,FALSE)</f>
        <v>0</v>
      </c>
      <c r="N59" s="5">
        <f>IFERROR(VLOOKUP(U14Mcombined[[#This Row],[Card]],results0123[],3,FALSE),999)</f>
        <v>37</v>
      </c>
      <c r="O59" s="5">
        <f>VLOOKUP(U14Mcombined[[#This Row],[pos0123]],pointstable[],2,FALSE)</f>
        <v>23</v>
      </c>
      <c r="P59" s="5">
        <f>IFERROR(VLOOKUP(U14Mcombined[[#This Row],[Card]],results0120[],3,FALSE),999)</f>
        <v>47</v>
      </c>
      <c r="Q59" s="5">
        <f>VLOOKUP(U14Mcombined[[#This Row],[pos0120]],pointstable[],2,FALSE)</f>
        <v>13</v>
      </c>
      <c r="R59" s="5">
        <f>IFERROR(VLOOKUP(U14Mcombined[[#This Row],[Card]],results0124[],3,FALSE),999)</f>
        <v>29</v>
      </c>
      <c r="S59" s="5">
        <f>IFERROR(VLOOKUP(U14Mcombined[[#This Row],[Card]],results0140[],3,FALSE),999)</f>
        <v>999</v>
      </c>
      <c r="T59" s="5">
        <f>IFERROR(VLOOKUP(U14Mcombined[[#This Row],[Card]],results0125[],3,FALSE),999)</f>
        <v>35</v>
      </c>
      <c r="U59" s="5">
        <f>VLOOKUP(U14Mcombined[[#This Row],[pos0124]],pointstable[],2,FALSE)</f>
        <v>31</v>
      </c>
      <c r="V59" s="5">
        <f>VLOOKUP(U14Mcombined[[#This Row],[pos0140]],pointstable[],2,FALSE)</f>
        <v>0</v>
      </c>
      <c r="W59" s="5">
        <f>VLOOKUP(U14Mcombined[[#This Row],[pos0125]],pointstable[],2,FALSE)</f>
        <v>25</v>
      </c>
    </row>
    <row r="60" spans="1:23" x14ac:dyDescent="0.25">
      <c r="A60">
        <v>80720</v>
      </c>
      <c r="B60" t="s">
        <v>98</v>
      </c>
      <c r="C60" t="s">
        <v>22</v>
      </c>
      <c r="D60">
        <v>5</v>
      </c>
      <c r="E60" s="5">
        <f>SUM(LARGE(U60:W60,{1,2}))</f>
        <v>34</v>
      </c>
      <c r="F60" s="5">
        <f>MAX(U14Mcombined[[#This Row],[pts0119]],U14Mcombined[[#This Row],[pts0118]],U14Mcombined[[#This Row],[pts0120]])</f>
        <v>29</v>
      </c>
      <c r="G60" s="5">
        <f>MAX(U14Mcombined[[#This Row],[pts0117]],U14Mcombined[[#This Row],[pts0123]])</f>
        <v>36</v>
      </c>
      <c r="H60" s="5">
        <f>IFERROR(VLOOKUP(U14Mcombined[[#This Row],[Card]],results0117[],3,FALSE),999)</f>
        <v>26</v>
      </c>
      <c r="I60" s="5">
        <f>VLOOKUP(U14Mcombined[[#This Row],[pos0117]],pointstable[],2,FALSE)</f>
        <v>36</v>
      </c>
      <c r="J60" s="5">
        <f>IFERROR(VLOOKUP(U14Mcombined[[#This Row],[Card]],results0119[],3,FALSE),999)</f>
        <v>47</v>
      </c>
      <c r="K60" s="5">
        <f>VLOOKUP(U14Mcombined[[#This Row],[pos0119]],pointstable[],2,FALSE)</f>
        <v>13</v>
      </c>
      <c r="L60" s="5">
        <f>IFERROR(VLOOKUP(U14Mcombined[[#This Row],[Card]],results0118[],3,FALSE),999)</f>
        <v>31</v>
      </c>
      <c r="M60" s="5">
        <f>VLOOKUP(U14Mcombined[[#This Row],[pos0118]],pointstable[],2,FALSE)</f>
        <v>29</v>
      </c>
      <c r="N60" s="5">
        <f>IFERROR(VLOOKUP(U14Mcombined[[#This Row],[Card]],results0123[],3,FALSE),999)</f>
        <v>999</v>
      </c>
      <c r="O60" s="5">
        <f>VLOOKUP(U14Mcombined[[#This Row],[pos0123]],pointstable[],2,FALSE)</f>
        <v>0</v>
      </c>
      <c r="P60" s="5">
        <f>IFERROR(VLOOKUP(U14Mcombined[[#This Row],[Card]],results0120[],3,FALSE),999)</f>
        <v>48</v>
      </c>
      <c r="Q60" s="5">
        <f>VLOOKUP(U14Mcombined[[#This Row],[pos0120]],pointstable[],2,FALSE)</f>
        <v>12</v>
      </c>
      <c r="R60" s="5">
        <f>IFERROR(VLOOKUP(U14Mcombined[[#This Row],[Card]],results0124[],3,FALSE),999)</f>
        <v>27</v>
      </c>
      <c r="S60" s="5">
        <f>IFERROR(VLOOKUP(U14Mcombined[[#This Row],[Card]],results0140[],3,FALSE),999)</f>
        <v>999</v>
      </c>
      <c r="T60" s="5">
        <f>IFERROR(VLOOKUP(U14Mcombined[[#This Row],[Card]],results0125[],3,FALSE),999)</f>
        <v>90</v>
      </c>
      <c r="U60" s="5">
        <f>VLOOKUP(U14Mcombined[[#This Row],[pos0124]],pointstable[],2,FALSE)</f>
        <v>34</v>
      </c>
      <c r="V60" s="5">
        <f>VLOOKUP(U14Mcombined[[#This Row],[pos0140]],pointstable[],2,FALSE)</f>
        <v>0</v>
      </c>
      <c r="W60" s="5">
        <f>VLOOKUP(U14Mcombined[[#This Row],[pos0125]],pointstable[],2,FALSE)</f>
        <v>0</v>
      </c>
    </row>
    <row r="61" spans="1:23" x14ac:dyDescent="0.25">
      <c r="A61">
        <v>86113</v>
      </c>
      <c r="B61" t="s">
        <v>142</v>
      </c>
      <c r="C61" t="s">
        <v>101</v>
      </c>
      <c r="D61">
        <v>5</v>
      </c>
      <c r="E61" s="5">
        <f>SUM(LARGE(U61:W61,{1,2}))</f>
        <v>54</v>
      </c>
      <c r="F61" s="5">
        <f>MAX(U14Mcombined[[#This Row],[pts0119]],U14Mcombined[[#This Row],[pts0118]],U14Mcombined[[#This Row],[pts0120]])</f>
        <v>55</v>
      </c>
      <c r="G61" s="5">
        <f>MAX(U14Mcombined[[#This Row],[pts0117]],U14Mcombined[[#This Row],[pts0123]])</f>
        <v>38</v>
      </c>
      <c r="H61" s="5">
        <f>IFERROR(VLOOKUP(U14Mcombined[[#This Row],[Card]],results0117[],3,FALSE),999)</f>
        <v>25</v>
      </c>
      <c r="I61" s="5">
        <f>VLOOKUP(U14Mcombined[[#This Row],[pos0117]],pointstable[],2,FALSE)</f>
        <v>38</v>
      </c>
      <c r="J61" s="5">
        <f>IFERROR(VLOOKUP(U14Mcombined[[#This Row],[Card]],results0119[],3,FALSE),999)</f>
        <v>20</v>
      </c>
      <c r="K61" s="5">
        <f>VLOOKUP(U14Mcombined[[#This Row],[pos0119]],pointstable[],2,FALSE)</f>
        <v>55</v>
      </c>
      <c r="L61" s="5">
        <f>IFERROR(VLOOKUP(U14Mcombined[[#This Row],[Card]],results0118[],3,FALSE),999)</f>
        <v>45</v>
      </c>
      <c r="M61" s="5">
        <f>VLOOKUP(U14Mcombined[[#This Row],[pos0118]],pointstable[],2,FALSE)</f>
        <v>15</v>
      </c>
      <c r="N61" s="5">
        <f>IFERROR(VLOOKUP(U14Mcombined[[#This Row],[Card]],results0123[],3,FALSE),999)</f>
        <v>45</v>
      </c>
      <c r="O61" s="5">
        <f>VLOOKUP(U14Mcombined[[#This Row],[pos0123]],pointstable[],2,FALSE)</f>
        <v>15</v>
      </c>
      <c r="P61" s="5">
        <f>IFERROR(VLOOKUP(U14Mcombined[[#This Row],[Card]],results0120[],3,FALSE),999)</f>
        <v>32</v>
      </c>
      <c r="Q61" s="5">
        <f>VLOOKUP(U14Mcombined[[#This Row],[pos0120]],pointstable[],2,FALSE)</f>
        <v>28</v>
      </c>
      <c r="R61" s="5">
        <f>IFERROR(VLOOKUP(U14Mcombined[[#This Row],[Card]],results0124[],3,FALSE),999)</f>
        <v>38</v>
      </c>
      <c r="S61" s="5">
        <f>IFERROR(VLOOKUP(U14Mcombined[[#This Row],[Card]],results0140[],3,FALSE),999)</f>
        <v>999</v>
      </c>
      <c r="T61" s="5">
        <f>IFERROR(VLOOKUP(U14Mcombined[[#This Row],[Card]],results0125[],3,FALSE),999)</f>
        <v>28</v>
      </c>
      <c r="U61" s="5">
        <f>VLOOKUP(U14Mcombined[[#This Row],[pos0124]],pointstable[],2,FALSE)</f>
        <v>22</v>
      </c>
      <c r="V61" s="5">
        <f>VLOOKUP(U14Mcombined[[#This Row],[pos0140]],pointstable[],2,FALSE)</f>
        <v>0</v>
      </c>
      <c r="W61" s="5">
        <f>VLOOKUP(U14Mcombined[[#This Row],[pos0125]],pointstable[],2,FALSE)</f>
        <v>32</v>
      </c>
    </row>
    <row r="62" spans="1:23" x14ac:dyDescent="0.25">
      <c r="A62">
        <v>81491</v>
      </c>
      <c r="B62" t="s">
        <v>105</v>
      </c>
      <c r="C62" t="s">
        <v>22</v>
      </c>
      <c r="D62">
        <v>5</v>
      </c>
      <c r="E62" s="5">
        <f>SUM(LARGE(U62:W62,{1,2}))</f>
        <v>37</v>
      </c>
      <c r="F62" s="5">
        <f>MAX(U14Mcombined[[#This Row],[pts0119]],U14Mcombined[[#This Row],[pts0118]],U14Mcombined[[#This Row],[pts0120]])</f>
        <v>38</v>
      </c>
      <c r="G62" s="5">
        <f>MAX(U14Mcombined[[#This Row],[pts0117]],U14Mcombined[[#This Row],[pts0123]])</f>
        <v>26</v>
      </c>
      <c r="H62" s="5">
        <f>IFERROR(VLOOKUP(U14Mcombined[[#This Row],[Card]],results0117[],3,FALSE),999)</f>
        <v>34</v>
      </c>
      <c r="I62" s="5">
        <f>VLOOKUP(U14Mcombined[[#This Row],[pos0117]],pointstable[],2,FALSE)</f>
        <v>26</v>
      </c>
      <c r="J62" s="5">
        <f>IFERROR(VLOOKUP(U14Mcombined[[#This Row],[Card]],results0119[],3,FALSE),999)</f>
        <v>25</v>
      </c>
      <c r="K62" s="5">
        <f>VLOOKUP(U14Mcombined[[#This Row],[pos0119]],pointstable[],2,FALSE)</f>
        <v>38</v>
      </c>
      <c r="L62" s="5">
        <f>IFERROR(VLOOKUP(U14Mcombined[[#This Row],[Card]],results0118[],3,FALSE),999)</f>
        <v>32</v>
      </c>
      <c r="M62" s="5">
        <f>VLOOKUP(U14Mcombined[[#This Row],[pos0118]],pointstable[],2,FALSE)</f>
        <v>28</v>
      </c>
      <c r="N62" s="5">
        <f>IFERROR(VLOOKUP(U14Mcombined[[#This Row],[Card]],results0123[],3,FALSE),999)</f>
        <v>58</v>
      </c>
      <c r="O62" s="5">
        <f>VLOOKUP(U14Mcombined[[#This Row],[pos0123]],pointstable[],2,FALSE)</f>
        <v>2</v>
      </c>
      <c r="P62" s="5">
        <f>IFERROR(VLOOKUP(U14Mcombined[[#This Row],[Card]],results0120[],3,FALSE),999)</f>
        <v>45</v>
      </c>
      <c r="Q62" s="5">
        <f>VLOOKUP(U14Mcombined[[#This Row],[pos0120]],pointstable[],2,FALSE)</f>
        <v>15</v>
      </c>
      <c r="R62" s="5">
        <f>IFERROR(VLOOKUP(U14Mcombined[[#This Row],[Card]],results0124[],3,FALSE),999)</f>
        <v>60</v>
      </c>
      <c r="S62" s="5">
        <f>IFERROR(VLOOKUP(U14Mcombined[[#This Row],[Card]],results0140[],3,FALSE),999)</f>
        <v>999</v>
      </c>
      <c r="T62" s="5">
        <f>IFERROR(VLOOKUP(U14Mcombined[[#This Row],[Card]],results0125[],3,FALSE),999)</f>
        <v>26</v>
      </c>
      <c r="U62" s="5">
        <f>VLOOKUP(U14Mcombined[[#This Row],[pos0124]],pointstable[],2,FALSE)</f>
        <v>1</v>
      </c>
      <c r="V62" s="5">
        <f>VLOOKUP(U14Mcombined[[#This Row],[pos0140]],pointstable[],2,FALSE)</f>
        <v>0</v>
      </c>
      <c r="W62" s="5">
        <f>VLOOKUP(U14Mcombined[[#This Row],[pos0125]],pointstable[],2,FALSE)</f>
        <v>36</v>
      </c>
    </row>
    <row r="63" spans="1:23" x14ac:dyDescent="0.25">
      <c r="A63">
        <v>80700</v>
      </c>
      <c r="B63" t="s">
        <v>192</v>
      </c>
      <c r="C63" t="s">
        <v>31</v>
      </c>
      <c r="D63">
        <v>4</v>
      </c>
      <c r="E63" s="5">
        <f>SUM(LARGE(U63:W63,{1,2}))</f>
        <v>52</v>
      </c>
      <c r="F63" s="5">
        <f>MAX(U14Mcombined[[#This Row],[pts0119]],U14Mcombined[[#This Row],[pts0118]],U14Mcombined[[#This Row],[pts0120]])</f>
        <v>31</v>
      </c>
      <c r="G63" s="5">
        <f>MAX(U14Mcombined[[#This Row],[pts0117]],U14Mcombined[[#This Row],[pts0123]])</f>
        <v>2</v>
      </c>
      <c r="H63" s="5">
        <f>IFERROR(VLOOKUP(U14Mcombined[[#This Row],[Card]],results0117[],3,FALSE),999)</f>
        <v>58</v>
      </c>
      <c r="I63" s="5">
        <f>VLOOKUP(U14Mcombined[[#This Row],[pos0117]],pointstable[],2,FALSE)</f>
        <v>2</v>
      </c>
      <c r="J63" s="5">
        <f>IFERROR(VLOOKUP(U14Mcombined[[#This Row],[Card]],results0119[],3,FALSE),999)</f>
        <v>999</v>
      </c>
      <c r="K63" s="5">
        <f>VLOOKUP(U14Mcombined[[#This Row],[pos0119]],pointstable[],2,FALSE)</f>
        <v>0</v>
      </c>
      <c r="L63" s="5">
        <f>IFERROR(VLOOKUP(U14Mcombined[[#This Row],[Card]],results0118[],3,FALSE),999)</f>
        <v>66</v>
      </c>
      <c r="M63" s="5">
        <f>VLOOKUP(U14Mcombined[[#This Row],[pos0118]],pointstable[],2,FALSE)</f>
        <v>0</v>
      </c>
      <c r="N63" s="5">
        <f>IFERROR(VLOOKUP(U14Mcombined[[#This Row],[Card]],results0123[],3,FALSE),999)</f>
        <v>60</v>
      </c>
      <c r="O63" s="5">
        <f>VLOOKUP(U14Mcombined[[#This Row],[pos0123]],pointstable[],2,FALSE)</f>
        <v>1</v>
      </c>
      <c r="P63" s="5">
        <f>IFERROR(VLOOKUP(U14Mcombined[[#This Row],[Card]],results0120[],3,FALSE),999)</f>
        <v>29</v>
      </c>
      <c r="Q63" s="5">
        <f>VLOOKUP(U14Mcombined[[#This Row],[pos0120]],pointstable[],2,FALSE)</f>
        <v>31</v>
      </c>
      <c r="R63" s="5">
        <f>IFERROR(VLOOKUP(U14Mcombined[[#This Row],[Card]],results0124[],3,FALSE),999)</f>
        <v>72</v>
      </c>
      <c r="S63" s="5">
        <f>IFERROR(VLOOKUP(U14Mcombined[[#This Row],[Card]],results0140[],3,FALSE),999)</f>
        <v>27</v>
      </c>
      <c r="T63" s="5">
        <f>IFERROR(VLOOKUP(U14Mcombined[[#This Row],[Card]],results0125[],3,FALSE),999)</f>
        <v>42</v>
      </c>
      <c r="U63" s="5">
        <f>VLOOKUP(U14Mcombined[[#This Row],[pos0124]],pointstable[],2,FALSE)</f>
        <v>0</v>
      </c>
      <c r="V63" s="5">
        <f>VLOOKUP(U14Mcombined[[#This Row],[pos0140]],pointstable[],2,FALSE)</f>
        <v>34</v>
      </c>
      <c r="W63" s="5">
        <f>VLOOKUP(U14Mcombined[[#This Row],[pos0125]],pointstable[],2,FALSE)</f>
        <v>18</v>
      </c>
    </row>
    <row r="64" spans="1:23" x14ac:dyDescent="0.25">
      <c r="A64">
        <v>80724</v>
      </c>
      <c r="B64" t="s">
        <v>167</v>
      </c>
      <c r="C64" t="s">
        <v>22</v>
      </c>
      <c r="D64">
        <v>4</v>
      </c>
      <c r="E64" s="5">
        <f>SUM(LARGE(U64:W64,{1,2}))</f>
        <v>42</v>
      </c>
      <c r="F64" s="5">
        <f>MAX(U14Mcombined[[#This Row],[pts0119]],U14Mcombined[[#This Row],[pts0118]],U14Mcombined[[#This Row],[pts0120]])</f>
        <v>26</v>
      </c>
      <c r="G64" s="5">
        <f>MAX(U14Mcombined[[#This Row],[pts0117]],U14Mcombined[[#This Row],[pts0123]])</f>
        <v>24</v>
      </c>
      <c r="H64" s="5">
        <f>IFERROR(VLOOKUP(U14Mcombined[[#This Row],[Card]],results0117[],3,FALSE),999)</f>
        <v>50</v>
      </c>
      <c r="I64" s="5">
        <f>VLOOKUP(U14Mcombined[[#This Row],[pos0117]],pointstable[],2,FALSE)</f>
        <v>10</v>
      </c>
      <c r="J64" s="5">
        <f>IFERROR(VLOOKUP(U14Mcombined[[#This Row],[Card]],results0119[],3,FALSE),999)</f>
        <v>46</v>
      </c>
      <c r="K64" s="5">
        <f>VLOOKUP(U14Mcombined[[#This Row],[pos0119]],pointstable[],2,FALSE)</f>
        <v>14</v>
      </c>
      <c r="L64" s="5">
        <f>IFERROR(VLOOKUP(U14Mcombined[[#This Row],[Card]],results0118[],3,FALSE),999)</f>
        <v>60</v>
      </c>
      <c r="M64" s="5">
        <f>VLOOKUP(U14Mcombined[[#This Row],[pos0118]],pointstable[],2,FALSE)</f>
        <v>1</v>
      </c>
      <c r="N64" s="5">
        <f>IFERROR(VLOOKUP(U14Mcombined[[#This Row],[Card]],results0123[],3,FALSE),999)</f>
        <v>36</v>
      </c>
      <c r="O64" s="5">
        <f>VLOOKUP(U14Mcombined[[#This Row],[pos0123]],pointstable[],2,FALSE)</f>
        <v>24</v>
      </c>
      <c r="P64" s="5">
        <f>IFERROR(VLOOKUP(U14Mcombined[[#This Row],[Card]],results0120[],3,FALSE),999)</f>
        <v>34</v>
      </c>
      <c r="Q64" s="5">
        <f>VLOOKUP(U14Mcombined[[#This Row],[pos0120]],pointstable[],2,FALSE)</f>
        <v>26</v>
      </c>
      <c r="R64" s="5">
        <f>IFERROR(VLOOKUP(U14Mcombined[[#This Row],[Card]],results0124[],3,FALSE),999)</f>
        <v>52</v>
      </c>
      <c r="S64" s="5">
        <f>IFERROR(VLOOKUP(U14Mcombined[[#This Row],[Card]],results0140[],3,FALSE),999)</f>
        <v>28</v>
      </c>
      <c r="T64" s="5">
        <f>IFERROR(VLOOKUP(U14Mcombined[[#This Row],[Card]],results0125[],3,FALSE),999)</f>
        <v>50</v>
      </c>
      <c r="U64" s="5">
        <f>VLOOKUP(U14Mcombined[[#This Row],[pos0124]],pointstable[],2,FALSE)</f>
        <v>8</v>
      </c>
      <c r="V64" s="5">
        <f>VLOOKUP(U14Mcombined[[#This Row],[pos0140]],pointstable[],2,FALSE)</f>
        <v>32</v>
      </c>
      <c r="W64" s="5">
        <f>VLOOKUP(U14Mcombined[[#This Row],[pos0125]],pointstable[],2,FALSE)</f>
        <v>10</v>
      </c>
    </row>
    <row r="65" spans="1:23" x14ac:dyDescent="0.25">
      <c r="A65">
        <v>78398</v>
      </c>
      <c r="B65" t="s">
        <v>156</v>
      </c>
      <c r="C65" t="s">
        <v>19</v>
      </c>
      <c r="D65">
        <v>4</v>
      </c>
      <c r="E65" s="5">
        <f>SUM(LARGE(U65:W65,{1,2}))</f>
        <v>47</v>
      </c>
      <c r="F65" s="5">
        <f>MAX(U14Mcombined[[#This Row],[pts0119]],U14Mcombined[[#This Row],[pts0118]],U14Mcombined[[#This Row],[pts0120]])</f>
        <v>21</v>
      </c>
      <c r="G65" s="5">
        <f>MAX(U14Mcombined[[#This Row],[pts0117]],U14Mcombined[[#This Row],[pts0123]])</f>
        <v>0</v>
      </c>
      <c r="H65" s="5">
        <f>IFERROR(VLOOKUP(U14Mcombined[[#This Row],[Card]],results0117[],3,FALSE),999)</f>
        <v>66</v>
      </c>
      <c r="I65" s="5">
        <f>VLOOKUP(U14Mcombined[[#This Row],[pos0117]],pointstable[],2,FALSE)</f>
        <v>0</v>
      </c>
      <c r="J65" s="5">
        <f>IFERROR(VLOOKUP(U14Mcombined[[#This Row],[Card]],results0119[],3,FALSE),999)</f>
        <v>39</v>
      </c>
      <c r="K65" s="5">
        <f>VLOOKUP(U14Mcombined[[#This Row],[pos0119]],pointstable[],2,FALSE)</f>
        <v>21</v>
      </c>
      <c r="L65" s="5">
        <f>IFERROR(VLOOKUP(U14Mcombined[[#This Row],[Card]],results0118[],3,FALSE),999)</f>
        <v>999</v>
      </c>
      <c r="M65" s="5">
        <f>VLOOKUP(U14Mcombined[[#This Row],[pos0118]],pointstable[],2,FALSE)</f>
        <v>0</v>
      </c>
      <c r="N65" s="5">
        <f>IFERROR(VLOOKUP(U14Mcombined[[#This Row],[Card]],results0123[],3,FALSE),999)</f>
        <v>999</v>
      </c>
      <c r="O65" s="5">
        <f>VLOOKUP(U14Mcombined[[#This Row],[pos0123]],pointstable[],2,FALSE)</f>
        <v>0</v>
      </c>
      <c r="P65" s="5">
        <f>IFERROR(VLOOKUP(U14Mcombined[[#This Row],[Card]],results0120[],3,FALSE),999)</f>
        <v>999</v>
      </c>
      <c r="Q65" s="5">
        <f>VLOOKUP(U14Mcombined[[#This Row],[pos0120]],pointstable[],2,FALSE)</f>
        <v>0</v>
      </c>
      <c r="R65" s="5">
        <f>IFERROR(VLOOKUP(U14Mcombined[[#This Row],[Card]],results0124[],3,FALSE),999)</f>
        <v>32</v>
      </c>
      <c r="S65" s="5">
        <f>IFERROR(VLOOKUP(U14Mcombined[[#This Row],[Card]],results0140[],3,FALSE),999)</f>
        <v>999</v>
      </c>
      <c r="T65" s="5">
        <f>IFERROR(VLOOKUP(U14Mcombined[[#This Row],[Card]],results0125[],3,FALSE),999)</f>
        <v>41</v>
      </c>
      <c r="U65" s="5">
        <f>VLOOKUP(U14Mcombined[[#This Row],[pos0124]],pointstable[],2,FALSE)</f>
        <v>28</v>
      </c>
      <c r="V65" s="5">
        <f>VLOOKUP(U14Mcombined[[#This Row],[pos0140]],pointstable[],2,FALSE)</f>
        <v>0</v>
      </c>
      <c r="W65" s="5">
        <f>VLOOKUP(U14Mcombined[[#This Row],[pos0125]],pointstable[],2,FALSE)</f>
        <v>19</v>
      </c>
    </row>
    <row r="66" spans="1:23" x14ac:dyDescent="0.25">
      <c r="A66">
        <v>81459</v>
      </c>
      <c r="B66" t="s">
        <v>225</v>
      </c>
      <c r="C66" t="s">
        <v>101</v>
      </c>
      <c r="D66">
        <v>5</v>
      </c>
      <c r="E66" s="5">
        <f>SUM(LARGE(U66:W66,{1,2}))</f>
        <v>47</v>
      </c>
      <c r="F66" s="5">
        <f>MAX(U14Mcombined[[#This Row],[pts0119]],U14Mcombined[[#This Row],[pts0118]],U14Mcombined[[#This Row],[pts0120]])</f>
        <v>60</v>
      </c>
      <c r="G66" s="5">
        <f>MAX(U14Mcombined[[#This Row],[pts0117]],U14Mcombined[[#This Row],[pts0123]])</f>
        <v>27</v>
      </c>
      <c r="H66" s="5">
        <f>IFERROR(VLOOKUP(U14Mcombined[[#This Row],[Card]],results0117[],3,FALSE),999)</f>
        <v>999</v>
      </c>
      <c r="I66" s="5">
        <f>VLOOKUP(U14Mcombined[[#This Row],[pos0117]],pointstable[],2,FALSE)</f>
        <v>0</v>
      </c>
      <c r="J66" s="5">
        <f>IFERROR(VLOOKUP(U14Mcombined[[#This Row],[Card]],results0119[],3,FALSE),999)</f>
        <v>999</v>
      </c>
      <c r="K66" s="5">
        <f>VLOOKUP(U14Mcombined[[#This Row],[pos0119]],pointstable[],2,FALSE)</f>
        <v>0</v>
      </c>
      <c r="L66" s="5">
        <f>IFERROR(VLOOKUP(U14Mcombined[[#This Row],[Card]],results0118[],3,FALSE),999)</f>
        <v>999</v>
      </c>
      <c r="M66" s="5">
        <f>VLOOKUP(U14Mcombined[[#This Row],[pos0118]],pointstable[],2,FALSE)</f>
        <v>0</v>
      </c>
      <c r="N66" s="5">
        <f>IFERROR(VLOOKUP(U14Mcombined[[#This Row],[Card]],results0123[],3,FALSE),999)</f>
        <v>33</v>
      </c>
      <c r="O66" s="5">
        <f>VLOOKUP(U14Mcombined[[#This Row],[pos0123]],pointstable[],2,FALSE)</f>
        <v>27</v>
      </c>
      <c r="P66" s="5">
        <f>IFERROR(VLOOKUP(U14Mcombined[[#This Row],[Card]],results0120[],3,FALSE),999)</f>
        <v>19</v>
      </c>
      <c r="Q66" s="5">
        <f>VLOOKUP(U14Mcombined[[#This Row],[pos0120]],pointstable[],2,FALSE)</f>
        <v>60</v>
      </c>
      <c r="R66" s="5">
        <f>IFERROR(VLOOKUP(U14Mcombined[[#This Row],[Card]],results0124[],3,FALSE),999)</f>
        <v>40</v>
      </c>
      <c r="S66" s="5">
        <f>IFERROR(VLOOKUP(U14Mcombined[[#This Row],[Card]],results0140[],3,FALSE),999)</f>
        <v>999</v>
      </c>
      <c r="T66" s="5">
        <f>IFERROR(VLOOKUP(U14Mcombined[[#This Row],[Card]],results0125[],3,FALSE),999)</f>
        <v>33</v>
      </c>
      <c r="U66" s="5">
        <f>VLOOKUP(U14Mcombined[[#This Row],[pos0124]],pointstable[],2,FALSE)</f>
        <v>20</v>
      </c>
      <c r="V66" s="5">
        <f>VLOOKUP(U14Mcombined[[#This Row],[pos0140]],pointstable[],2,FALSE)</f>
        <v>0</v>
      </c>
      <c r="W66" s="5">
        <f>VLOOKUP(U14Mcombined[[#This Row],[pos0125]],pointstable[],2,FALSE)</f>
        <v>27</v>
      </c>
    </row>
    <row r="67" spans="1:23" x14ac:dyDescent="0.25">
      <c r="A67">
        <v>82328</v>
      </c>
      <c r="B67" t="s">
        <v>137</v>
      </c>
      <c r="C67" t="s">
        <v>15</v>
      </c>
      <c r="D67">
        <v>4</v>
      </c>
      <c r="E67" s="5">
        <f>SUM(LARGE(U67:W67,{1,2}))</f>
        <v>41</v>
      </c>
      <c r="F67" s="5">
        <f>MAX(U14Mcombined[[#This Row],[pts0119]],U14Mcombined[[#This Row],[pts0118]],U14Mcombined[[#This Row],[pts0120]])</f>
        <v>75</v>
      </c>
      <c r="G67" s="5">
        <f>MAX(U14Mcombined[[#This Row],[pts0117]],U14Mcombined[[#This Row],[pts0123]])</f>
        <v>27</v>
      </c>
      <c r="H67" s="5">
        <f>IFERROR(VLOOKUP(U14Mcombined[[#This Row],[Card]],results0117[],3,FALSE),999)</f>
        <v>33</v>
      </c>
      <c r="I67" s="5">
        <f>VLOOKUP(U14Mcombined[[#This Row],[pos0117]],pointstable[],2,FALSE)</f>
        <v>27</v>
      </c>
      <c r="J67" s="5">
        <f>IFERROR(VLOOKUP(U14Mcombined[[#This Row],[Card]],results0119[],3,FALSE),999)</f>
        <v>30</v>
      </c>
      <c r="K67" s="5">
        <f>VLOOKUP(U14Mcombined[[#This Row],[pos0119]],pointstable[],2,FALSE)</f>
        <v>30</v>
      </c>
      <c r="L67" s="5">
        <f>IFERROR(VLOOKUP(U14Mcombined[[#This Row],[Card]],results0118[],3,FALSE),999)</f>
        <v>999</v>
      </c>
      <c r="M67" s="5">
        <f>VLOOKUP(U14Mcombined[[#This Row],[pos0118]],pointstable[],2,FALSE)</f>
        <v>0</v>
      </c>
      <c r="N67" s="5">
        <f>IFERROR(VLOOKUP(U14Mcombined[[#This Row],[Card]],results0123[],3,FALSE),999)</f>
        <v>43</v>
      </c>
      <c r="O67" s="5">
        <f>VLOOKUP(U14Mcombined[[#This Row],[pos0123]],pointstable[],2,FALSE)</f>
        <v>17</v>
      </c>
      <c r="P67" s="5">
        <f>IFERROR(VLOOKUP(U14Mcombined[[#This Row],[Card]],results0120[],3,FALSE),999)</f>
        <v>16</v>
      </c>
      <c r="Q67" s="5">
        <f>VLOOKUP(U14Mcombined[[#This Row],[pos0120]],pointstable[],2,FALSE)</f>
        <v>75</v>
      </c>
      <c r="R67" s="5">
        <f>IFERROR(VLOOKUP(U14Mcombined[[#This Row],[Card]],results0124[],3,FALSE),999)</f>
        <v>35</v>
      </c>
      <c r="S67" s="5">
        <f>IFERROR(VLOOKUP(U14Mcombined[[#This Row],[Card]],results0140[],3,FALSE),999)</f>
        <v>999</v>
      </c>
      <c r="T67" s="5">
        <f>IFERROR(VLOOKUP(U14Mcombined[[#This Row],[Card]],results0125[],3,FALSE),999)</f>
        <v>44</v>
      </c>
      <c r="U67" s="5">
        <f>VLOOKUP(U14Mcombined[[#This Row],[pos0124]],pointstable[],2,FALSE)</f>
        <v>25</v>
      </c>
      <c r="V67" s="5">
        <f>VLOOKUP(U14Mcombined[[#This Row],[pos0140]],pointstable[],2,FALSE)</f>
        <v>0</v>
      </c>
      <c r="W67" s="5">
        <f>VLOOKUP(U14Mcombined[[#This Row],[pos0125]],pointstable[],2,FALSE)</f>
        <v>16</v>
      </c>
    </row>
    <row r="68" spans="1:23" x14ac:dyDescent="0.25">
      <c r="A68">
        <v>78680</v>
      </c>
      <c r="B68" t="s">
        <v>127</v>
      </c>
      <c r="C68" t="s">
        <v>22</v>
      </c>
      <c r="D68">
        <v>5</v>
      </c>
      <c r="E68" s="5">
        <f>SUM(LARGE(U68:W68,{1,2}))</f>
        <v>35</v>
      </c>
      <c r="F68" s="5">
        <f>MAX(U14Mcombined[[#This Row],[pts0119]],U14Mcombined[[#This Row],[pts0118]],U14Mcombined[[#This Row],[pts0120]])</f>
        <v>21</v>
      </c>
      <c r="G68" s="5">
        <f>MAX(U14Mcombined[[#This Row],[pts0117]],U14Mcombined[[#This Row],[pts0123]])</f>
        <v>19</v>
      </c>
      <c r="H68" s="5">
        <f>IFERROR(VLOOKUP(U14Mcombined[[#This Row],[Card]],results0117[],3,FALSE),999)</f>
        <v>48</v>
      </c>
      <c r="I68" s="5">
        <f>VLOOKUP(U14Mcombined[[#This Row],[pos0117]],pointstable[],2,FALSE)</f>
        <v>12</v>
      </c>
      <c r="J68" s="5">
        <f>IFERROR(VLOOKUP(U14Mcombined[[#This Row],[Card]],results0119[],3,FALSE),999)</f>
        <v>999</v>
      </c>
      <c r="K68" s="5">
        <f>VLOOKUP(U14Mcombined[[#This Row],[pos0119]],pointstable[],2,FALSE)</f>
        <v>0</v>
      </c>
      <c r="L68" s="5">
        <f>IFERROR(VLOOKUP(U14Mcombined[[#This Row],[Card]],results0118[],3,FALSE),999)</f>
        <v>42</v>
      </c>
      <c r="M68" s="5">
        <f>VLOOKUP(U14Mcombined[[#This Row],[pos0118]],pointstable[],2,FALSE)</f>
        <v>18</v>
      </c>
      <c r="N68" s="5">
        <f>IFERROR(VLOOKUP(U14Mcombined[[#This Row],[Card]],results0123[],3,FALSE),999)</f>
        <v>41</v>
      </c>
      <c r="O68" s="5">
        <f>VLOOKUP(U14Mcombined[[#This Row],[pos0123]],pointstable[],2,FALSE)</f>
        <v>19</v>
      </c>
      <c r="P68" s="5">
        <f>IFERROR(VLOOKUP(U14Mcombined[[#This Row],[Card]],results0120[],3,FALSE),999)</f>
        <v>39</v>
      </c>
      <c r="Q68" s="5">
        <f>VLOOKUP(U14Mcombined[[#This Row],[pos0120]],pointstable[],2,FALSE)</f>
        <v>21</v>
      </c>
      <c r="R68" s="5">
        <f>IFERROR(VLOOKUP(U14Mcombined[[#This Row],[Card]],results0124[],3,FALSE),999)</f>
        <v>49</v>
      </c>
      <c r="S68" s="5">
        <f>IFERROR(VLOOKUP(U14Mcombined[[#This Row],[Card]],results0140[],3,FALSE),999)</f>
        <v>999</v>
      </c>
      <c r="T68" s="5">
        <f>IFERROR(VLOOKUP(U14Mcombined[[#This Row],[Card]],results0125[],3,FALSE),999)</f>
        <v>36</v>
      </c>
      <c r="U68" s="5">
        <f>VLOOKUP(U14Mcombined[[#This Row],[pos0124]],pointstable[],2,FALSE)</f>
        <v>11</v>
      </c>
      <c r="V68" s="5">
        <f>VLOOKUP(U14Mcombined[[#This Row],[pos0140]],pointstable[],2,FALSE)</f>
        <v>0</v>
      </c>
      <c r="W68" s="5">
        <f>VLOOKUP(U14Mcombined[[#This Row],[pos0125]],pointstable[],2,FALSE)</f>
        <v>24</v>
      </c>
    </row>
    <row r="69" spans="1:23" x14ac:dyDescent="0.25">
      <c r="A69">
        <v>80605</v>
      </c>
      <c r="B69" t="s">
        <v>162</v>
      </c>
      <c r="C69" t="s">
        <v>163</v>
      </c>
      <c r="D69">
        <v>5</v>
      </c>
      <c r="E69" s="5">
        <f>SUM(LARGE(U69:W69,{1,2}))</f>
        <v>42</v>
      </c>
      <c r="F69" s="5">
        <f>MAX(U14Mcombined[[#This Row],[pts0119]],U14Mcombined[[#This Row],[pts0118]],U14Mcombined[[#This Row],[pts0120]])</f>
        <v>0</v>
      </c>
      <c r="G69" s="5">
        <f>MAX(U14Mcombined[[#This Row],[pts0117]],U14Mcombined[[#This Row],[pts0123]])</f>
        <v>0</v>
      </c>
      <c r="H69" s="5">
        <f>IFERROR(VLOOKUP(U14Mcombined[[#This Row],[Card]],results0117[],3,FALSE),999)</f>
        <v>999</v>
      </c>
      <c r="I69" s="5">
        <f>VLOOKUP(U14Mcombined[[#This Row],[pos0117]],pointstable[],2,FALSE)</f>
        <v>0</v>
      </c>
      <c r="J69" s="5">
        <f>IFERROR(VLOOKUP(U14Mcombined[[#This Row],[Card]],results0119[],3,FALSE),999)</f>
        <v>999</v>
      </c>
      <c r="K69" s="5">
        <f>VLOOKUP(U14Mcombined[[#This Row],[pos0119]],pointstable[],2,FALSE)</f>
        <v>0</v>
      </c>
      <c r="L69" s="5">
        <f>IFERROR(VLOOKUP(U14Mcombined[[#This Row],[Card]],results0118[],3,FALSE),999)</f>
        <v>999</v>
      </c>
      <c r="M69" s="5">
        <f>VLOOKUP(U14Mcombined[[#This Row],[pos0118]],pointstable[],2,FALSE)</f>
        <v>0</v>
      </c>
      <c r="N69" s="5">
        <f>IFERROR(VLOOKUP(U14Mcombined[[#This Row],[Card]],results0123[],3,FALSE),999)</f>
        <v>999</v>
      </c>
      <c r="O69" s="5">
        <f>VLOOKUP(U14Mcombined[[#This Row],[pos0123]],pointstable[],2,FALSE)</f>
        <v>0</v>
      </c>
      <c r="P69" s="5">
        <f>IFERROR(VLOOKUP(U14Mcombined[[#This Row],[Card]],results0120[],3,FALSE),999)</f>
        <v>999</v>
      </c>
      <c r="Q69" s="5">
        <f>VLOOKUP(U14Mcombined[[#This Row],[pos0120]],pointstable[],2,FALSE)</f>
        <v>0</v>
      </c>
      <c r="R69" s="5">
        <f>IFERROR(VLOOKUP(U14Mcombined[[#This Row],[Card]],results0124[],3,FALSE),999)</f>
        <v>60</v>
      </c>
      <c r="S69" s="5">
        <f>IFERROR(VLOOKUP(U14Mcombined[[#This Row],[Card]],results0140[],3,FALSE),999)</f>
        <v>24</v>
      </c>
      <c r="T69" s="5">
        <f>IFERROR(VLOOKUP(U14Mcombined[[#This Row],[Card]],results0125[],3,FALSE),999)</f>
        <v>63</v>
      </c>
      <c r="U69" s="5">
        <f>VLOOKUP(U14Mcombined[[#This Row],[pos0124]],pointstable[],2,FALSE)</f>
        <v>1</v>
      </c>
      <c r="V69" s="5">
        <f>VLOOKUP(U14Mcombined[[#This Row],[pos0140]],pointstable[],2,FALSE)</f>
        <v>41</v>
      </c>
      <c r="W69" s="5">
        <f>VLOOKUP(U14Mcombined[[#This Row],[pos0125]],pointstable[],2,FALSE)</f>
        <v>0</v>
      </c>
    </row>
    <row r="70" spans="1:23" x14ac:dyDescent="0.25">
      <c r="A70">
        <v>80682</v>
      </c>
      <c r="B70" t="s">
        <v>135</v>
      </c>
      <c r="C70" t="s">
        <v>15</v>
      </c>
      <c r="D70">
        <v>4</v>
      </c>
      <c r="E70" s="5">
        <f>SUM(LARGE(U70:W70,{1,2}))</f>
        <v>37</v>
      </c>
      <c r="F70" s="5">
        <f>MAX(U14Mcombined[[#This Row],[pts0119]],U14Mcombined[[#This Row],[pts0118]],U14Mcombined[[#This Row],[pts0120]])</f>
        <v>27</v>
      </c>
      <c r="G70" s="5">
        <f>MAX(U14Mcombined[[#This Row],[pts0117]],U14Mcombined[[#This Row],[pts0123]])</f>
        <v>21</v>
      </c>
      <c r="H70" s="5">
        <f>IFERROR(VLOOKUP(U14Mcombined[[#This Row],[Card]],results0117[],3,FALSE),999)</f>
        <v>999</v>
      </c>
      <c r="I70" s="5">
        <f>VLOOKUP(U14Mcombined[[#This Row],[pos0117]],pointstable[],2,FALSE)</f>
        <v>0</v>
      </c>
      <c r="J70" s="5">
        <f>IFERROR(VLOOKUP(U14Mcombined[[#This Row],[Card]],results0119[],3,FALSE),999)</f>
        <v>999</v>
      </c>
      <c r="K70" s="5">
        <f>VLOOKUP(U14Mcombined[[#This Row],[pos0119]],pointstable[],2,FALSE)</f>
        <v>0</v>
      </c>
      <c r="L70" s="5">
        <f>IFERROR(VLOOKUP(U14Mcombined[[#This Row],[Card]],results0118[],3,FALSE),999)</f>
        <v>33</v>
      </c>
      <c r="M70" s="5">
        <f>VLOOKUP(U14Mcombined[[#This Row],[pos0118]],pointstable[],2,FALSE)</f>
        <v>27</v>
      </c>
      <c r="N70" s="5">
        <f>IFERROR(VLOOKUP(U14Mcombined[[#This Row],[Card]],results0123[],3,FALSE),999)</f>
        <v>39</v>
      </c>
      <c r="O70" s="5">
        <f>VLOOKUP(U14Mcombined[[#This Row],[pos0123]],pointstable[],2,FALSE)</f>
        <v>21</v>
      </c>
      <c r="P70" s="5">
        <f>IFERROR(VLOOKUP(U14Mcombined[[#This Row],[Card]],results0120[],3,FALSE),999)</f>
        <v>999</v>
      </c>
      <c r="Q70" s="5">
        <f>VLOOKUP(U14Mcombined[[#This Row],[pos0120]],pointstable[],2,FALSE)</f>
        <v>0</v>
      </c>
      <c r="R70" s="5">
        <f>IFERROR(VLOOKUP(U14Mcombined[[#This Row],[Card]],results0124[],3,FALSE),999)</f>
        <v>34</v>
      </c>
      <c r="S70" s="5">
        <f>IFERROR(VLOOKUP(U14Mcombined[[#This Row],[Card]],results0140[],3,FALSE),999)</f>
        <v>999</v>
      </c>
      <c r="T70" s="5">
        <f>IFERROR(VLOOKUP(U14Mcombined[[#This Row],[Card]],results0125[],3,FALSE),999)</f>
        <v>49</v>
      </c>
      <c r="U70" s="5">
        <f>VLOOKUP(U14Mcombined[[#This Row],[pos0124]],pointstable[],2,FALSE)</f>
        <v>26</v>
      </c>
      <c r="V70" s="5">
        <f>VLOOKUP(U14Mcombined[[#This Row],[pos0140]],pointstable[],2,FALSE)</f>
        <v>0</v>
      </c>
      <c r="W70" s="5">
        <f>VLOOKUP(U14Mcombined[[#This Row],[pos0125]],pointstable[],2,FALSE)</f>
        <v>11</v>
      </c>
    </row>
    <row r="71" spans="1:23" x14ac:dyDescent="0.25">
      <c r="A71">
        <v>76572</v>
      </c>
      <c r="B71" t="s">
        <v>109</v>
      </c>
      <c r="C71" t="s">
        <v>38</v>
      </c>
      <c r="D71">
        <v>4</v>
      </c>
      <c r="E71" s="5">
        <f>SUM(LARGE(U71:W71,{1,2}))</f>
        <v>24</v>
      </c>
      <c r="F71" s="5">
        <f>MAX(U14Mcombined[[#This Row],[pts0119]],U14Mcombined[[#This Row],[pts0118]],U14Mcombined[[#This Row],[pts0120]])</f>
        <v>25</v>
      </c>
      <c r="G71" s="5">
        <f>MAX(U14Mcombined[[#This Row],[pts0117]],U14Mcombined[[#This Row],[pts0123]])</f>
        <v>28</v>
      </c>
      <c r="H71" s="5">
        <f>IFERROR(VLOOKUP(U14Mcombined[[#This Row],[Card]],results0117[],3,FALSE),999)</f>
        <v>46</v>
      </c>
      <c r="I71" s="5">
        <f>VLOOKUP(U14Mcombined[[#This Row],[pos0117]],pointstable[],2,FALSE)</f>
        <v>14</v>
      </c>
      <c r="J71" s="5">
        <f>IFERROR(VLOOKUP(U14Mcombined[[#This Row],[Card]],results0119[],3,FALSE),999)</f>
        <v>35</v>
      </c>
      <c r="K71" s="5">
        <f>VLOOKUP(U14Mcombined[[#This Row],[pos0119]],pointstable[],2,FALSE)</f>
        <v>25</v>
      </c>
      <c r="L71" s="5">
        <f>IFERROR(VLOOKUP(U14Mcombined[[#This Row],[Card]],results0118[],3,FALSE),999)</f>
        <v>51</v>
      </c>
      <c r="M71" s="5">
        <f>VLOOKUP(U14Mcombined[[#This Row],[pos0118]],pointstable[],2,FALSE)</f>
        <v>9</v>
      </c>
      <c r="N71" s="5">
        <f>IFERROR(VLOOKUP(U14Mcombined[[#This Row],[Card]],results0123[],3,FALSE),999)</f>
        <v>32</v>
      </c>
      <c r="O71" s="5">
        <f>VLOOKUP(U14Mcombined[[#This Row],[pos0123]],pointstable[],2,FALSE)</f>
        <v>28</v>
      </c>
      <c r="P71" s="5">
        <f>IFERROR(VLOOKUP(U14Mcombined[[#This Row],[Card]],results0120[],3,FALSE),999)</f>
        <v>999</v>
      </c>
      <c r="Q71" s="5">
        <f>VLOOKUP(U14Mcombined[[#This Row],[pos0120]],pointstable[],2,FALSE)</f>
        <v>0</v>
      </c>
      <c r="R71" s="5">
        <f>IFERROR(VLOOKUP(U14Mcombined[[#This Row],[Card]],results0124[],3,FALSE),999)</f>
        <v>50</v>
      </c>
      <c r="S71" s="5">
        <f>IFERROR(VLOOKUP(U14Mcombined[[#This Row],[Card]],results0140[],3,FALSE),999)</f>
        <v>999</v>
      </c>
      <c r="T71" s="5">
        <f>IFERROR(VLOOKUP(U14Mcombined[[#This Row],[Card]],results0125[],3,FALSE),999)</f>
        <v>46</v>
      </c>
      <c r="U71" s="5">
        <f>VLOOKUP(U14Mcombined[[#This Row],[pos0124]],pointstable[],2,FALSE)</f>
        <v>10</v>
      </c>
      <c r="V71" s="5">
        <f>VLOOKUP(U14Mcombined[[#This Row],[pos0140]],pointstable[],2,FALSE)</f>
        <v>0</v>
      </c>
      <c r="W71" s="5">
        <f>VLOOKUP(U14Mcombined[[#This Row],[pos0125]],pointstable[],2,FALSE)</f>
        <v>14</v>
      </c>
    </row>
    <row r="72" spans="1:23" x14ac:dyDescent="0.25">
      <c r="A72">
        <v>81322</v>
      </c>
      <c r="B72" t="s">
        <v>72</v>
      </c>
      <c r="C72" t="s">
        <v>22</v>
      </c>
      <c r="D72">
        <v>4</v>
      </c>
      <c r="E72" s="5">
        <f>SUM(LARGE(U72:W72,{1,2}))</f>
        <v>0</v>
      </c>
      <c r="F72" s="5">
        <f>MAX(U14Mcombined[[#This Row],[pts0119]],U14Mcombined[[#This Row],[pts0118]],U14Mcombined[[#This Row],[pts0120]])</f>
        <v>90</v>
      </c>
      <c r="G72" s="5">
        <f>MAX(U14Mcombined[[#This Row],[pts0117]],U14Mcombined[[#This Row],[pts0123]])</f>
        <v>0</v>
      </c>
      <c r="H72" s="5">
        <f>IFERROR(VLOOKUP(U14Mcombined[[#This Row],[Card]],results0117[],3,FALSE),999)</f>
        <v>999</v>
      </c>
      <c r="I72" s="5">
        <f>VLOOKUP(U14Mcombined[[#This Row],[pos0117]],pointstable[],2,FALSE)</f>
        <v>0</v>
      </c>
      <c r="J72" s="5">
        <f>IFERROR(VLOOKUP(U14Mcombined[[#This Row],[Card]],results0119[],3,FALSE),999)</f>
        <v>14</v>
      </c>
      <c r="K72" s="5">
        <f>VLOOKUP(U14Mcombined[[#This Row],[pos0119]],pointstable[],2,FALSE)</f>
        <v>90</v>
      </c>
      <c r="L72" s="5">
        <f>IFERROR(VLOOKUP(U14Mcombined[[#This Row],[Card]],results0118[],3,FALSE),999)</f>
        <v>999</v>
      </c>
      <c r="M72" s="5">
        <f>VLOOKUP(U14Mcombined[[#This Row],[pos0118]],pointstable[],2,FALSE)</f>
        <v>0</v>
      </c>
      <c r="N72" s="5">
        <f>IFERROR(VLOOKUP(U14Mcombined[[#This Row],[Card]],results0123[],3,FALSE),999)</f>
        <v>999</v>
      </c>
      <c r="O72" s="5">
        <f>VLOOKUP(U14Mcombined[[#This Row],[pos0123]],pointstable[],2,FALSE)</f>
        <v>0</v>
      </c>
      <c r="P72" s="5">
        <f>IFERROR(VLOOKUP(U14Mcombined[[#This Row],[Card]],results0120[],3,FALSE),999)</f>
        <v>999</v>
      </c>
      <c r="Q72" s="5">
        <f>VLOOKUP(U14Mcombined[[#This Row],[pos0120]],pointstable[],2,FALSE)</f>
        <v>0</v>
      </c>
      <c r="R72" s="5">
        <f>IFERROR(VLOOKUP(U14Mcombined[[#This Row],[Card]],results0124[],3,FALSE),999)</f>
        <v>999</v>
      </c>
      <c r="S72" s="5">
        <f>IFERROR(VLOOKUP(U14Mcombined[[#This Row],[Card]],results0140[],3,FALSE),999)</f>
        <v>999</v>
      </c>
      <c r="T72" s="5">
        <f>IFERROR(VLOOKUP(U14Mcombined[[#This Row],[Card]],results0125[],3,FALSE),999)</f>
        <v>999</v>
      </c>
      <c r="U72" s="5">
        <f>VLOOKUP(U14Mcombined[[#This Row],[pos0124]],pointstable[],2,FALSE)</f>
        <v>0</v>
      </c>
      <c r="V72" s="5">
        <f>VLOOKUP(U14Mcombined[[#This Row],[pos0140]],pointstable[],2,FALSE)</f>
        <v>0</v>
      </c>
      <c r="W72" s="5">
        <f>VLOOKUP(U14Mcombined[[#This Row],[pos0125]],pointstable[],2,FALSE)</f>
        <v>0</v>
      </c>
    </row>
    <row r="73" spans="1:23" x14ac:dyDescent="0.25">
      <c r="A73">
        <v>78649</v>
      </c>
      <c r="B73" s="5" t="s">
        <v>308</v>
      </c>
      <c r="C73" s="5" t="s">
        <v>309</v>
      </c>
      <c r="D73" s="5">
        <v>4</v>
      </c>
      <c r="E73" s="5">
        <f>SUM(LARGE(U73:W73,{1,2}))</f>
        <v>36</v>
      </c>
      <c r="F73" s="5">
        <f>MAX(U14Mcombined[[#This Row],[pts0119]],U14Mcombined[[#This Row],[pts0118]],U14Mcombined[[#This Row],[pts0120]])</f>
        <v>0</v>
      </c>
      <c r="G73" s="5">
        <f>MAX(U14Mcombined[[#This Row],[pts0117]],U14Mcombined[[#This Row],[pts0123]])</f>
        <v>0</v>
      </c>
      <c r="H73" s="5">
        <f>IFERROR(VLOOKUP(U14Mcombined[[#This Row],[Card]],results0117[],3,FALSE),999)</f>
        <v>999</v>
      </c>
      <c r="I73" s="5">
        <f>VLOOKUP(U14Mcombined[[#This Row],[pos0117]],pointstable[],2,FALSE)</f>
        <v>0</v>
      </c>
      <c r="J73" s="5">
        <f>IFERROR(VLOOKUP(U14Mcombined[[#This Row],[Card]],results0119[],3,FALSE),999)</f>
        <v>999</v>
      </c>
      <c r="K73" s="5">
        <f>VLOOKUP(U14Mcombined[[#This Row],[pos0119]],pointstable[],2,FALSE)</f>
        <v>0</v>
      </c>
      <c r="L73" s="5">
        <f>IFERROR(VLOOKUP(U14Mcombined[[#This Row],[Card]],results0118[],3,FALSE),999)</f>
        <v>999</v>
      </c>
      <c r="M73" s="5">
        <f>VLOOKUP(U14Mcombined[[#This Row],[pos0118]],pointstable[],2,FALSE)</f>
        <v>0</v>
      </c>
      <c r="N73" s="5">
        <f>IFERROR(VLOOKUP(U14Mcombined[[#This Row],[Card]],results0123[],3,FALSE),999)</f>
        <v>999</v>
      </c>
      <c r="O73" s="5">
        <f>VLOOKUP(U14Mcombined[[#This Row],[pos0123]],pointstable[],2,FALSE)</f>
        <v>0</v>
      </c>
      <c r="P73" s="5">
        <f>IFERROR(VLOOKUP(U14Mcombined[[#This Row],[Card]],results0120[],3,FALSE),999)</f>
        <v>999</v>
      </c>
      <c r="Q73" s="5">
        <f>VLOOKUP(U14Mcombined[[#This Row],[pos0120]],pointstable[],2,FALSE)</f>
        <v>0</v>
      </c>
      <c r="R73" s="5">
        <f>IFERROR(VLOOKUP(U14Mcombined[[#This Row],[Card]],results0124[],3,FALSE),999)</f>
        <v>76</v>
      </c>
      <c r="S73" s="5">
        <f>IFERROR(VLOOKUP(U14Mcombined[[#This Row],[Card]],results0140[],3,FALSE),999)</f>
        <v>26</v>
      </c>
      <c r="T73" s="5">
        <f>IFERROR(VLOOKUP(U14Mcombined[[#This Row],[Card]],results0125[],3,FALSE),999)</f>
        <v>74</v>
      </c>
      <c r="U73" s="5">
        <f>VLOOKUP(U14Mcombined[[#This Row],[pos0124]],pointstable[],2,FALSE)</f>
        <v>0</v>
      </c>
      <c r="V73" s="5">
        <f>VLOOKUP(U14Mcombined[[#This Row],[pos0140]],pointstable[],2,FALSE)</f>
        <v>36</v>
      </c>
      <c r="W73" s="5">
        <f>VLOOKUP(U14Mcombined[[#This Row],[pos0125]],pointstable[],2,FALSE)</f>
        <v>0</v>
      </c>
    </row>
    <row r="74" spans="1:23" x14ac:dyDescent="0.25">
      <c r="A74">
        <v>76510</v>
      </c>
      <c r="B74" t="s">
        <v>186</v>
      </c>
      <c r="C74" t="s">
        <v>38</v>
      </c>
      <c r="D74">
        <v>4</v>
      </c>
      <c r="E74" s="5">
        <f>SUM(LARGE(U74:W74,{1,2}))</f>
        <v>33</v>
      </c>
      <c r="F74" s="5">
        <f>MAX(U14Mcombined[[#This Row],[pts0119]],U14Mcombined[[#This Row],[pts0118]],U14Mcombined[[#This Row],[pts0120]])</f>
        <v>18</v>
      </c>
      <c r="G74" s="5">
        <f>MAX(U14Mcombined[[#This Row],[pts0117]],U14Mcombined[[#This Row],[pts0123]])</f>
        <v>0</v>
      </c>
      <c r="H74" s="5">
        <f>IFERROR(VLOOKUP(U14Mcombined[[#This Row],[Card]],results0117[],3,FALSE),999)</f>
        <v>999</v>
      </c>
      <c r="I74" s="5">
        <f>VLOOKUP(U14Mcombined[[#This Row],[pos0117]],pointstable[],2,FALSE)</f>
        <v>0</v>
      </c>
      <c r="J74" s="5">
        <f>IFERROR(VLOOKUP(U14Mcombined[[#This Row],[Card]],results0119[],3,FALSE),999)</f>
        <v>999</v>
      </c>
      <c r="K74" s="5">
        <f>VLOOKUP(U14Mcombined[[#This Row],[pos0119]],pointstable[],2,FALSE)</f>
        <v>0</v>
      </c>
      <c r="L74" s="5">
        <f>IFERROR(VLOOKUP(U14Mcombined[[#This Row],[Card]],results0118[],3,FALSE),999)</f>
        <v>67</v>
      </c>
      <c r="M74" s="5">
        <f>VLOOKUP(U14Mcombined[[#This Row],[pos0118]],pointstable[],2,FALSE)</f>
        <v>0</v>
      </c>
      <c r="N74" s="5">
        <f>IFERROR(VLOOKUP(U14Mcombined[[#This Row],[Card]],results0123[],3,FALSE),999)</f>
        <v>999</v>
      </c>
      <c r="O74" s="5">
        <f>VLOOKUP(U14Mcombined[[#This Row],[pos0123]],pointstable[],2,FALSE)</f>
        <v>0</v>
      </c>
      <c r="P74" s="5">
        <f>IFERROR(VLOOKUP(U14Mcombined[[#This Row],[Card]],results0120[],3,FALSE),999)</f>
        <v>42</v>
      </c>
      <c r="Q74" s="5">
        <f>VLOOKUP(U14Mcombined[[#This Row],[pos0120]],pointstable[],2,FALSE)</f>
        <v>18</v>
      </c>
      <c r="R74" s="5">
        <f>IFERROR(VLOOKUP(U14Mcombined[[#This Row],[Card]],results0124[],3,FALSE),999)</f>
        <v>62</v>
      </c>
      <c r="S74" s="5">
        <f>IFERROR(VLOOKUP(U14Mcombined[[#This Row],[Card]],results0140[],3,FALSE),999)</f>
        <v>29</v>
      </c>
      <c r="T74" s="5">
        <f>IFERROR(VLOOKUP(U14Mcombined[[#This Row],[Card]],results0125[],3,FALSE),999)</f>
        <v>58</v>
      </c>
      <c r="U74" s="5">
        <f>VLOOKUP(U14Mcombined[[#This Row],[pos0124]],pointstable[],2,FALSE)</f>
        <v>0</v>
      </c>
      <c r="V74" s="5">
        <f>VLOOKUP(U14Mcombined[[#This Row],[pos0140]],pointstable[],2,FALSE)</f>
        <v>31</v>
      </c>
      <c r="W74" s="5">
        <f>VLOOKUP(U14Mcombined[[#This Row],[pos0125]],pointstable[],2,FALSE)</f>
        <v>2</v>
      </c>
    </row>
    <row r="75" spans="1:23" x14ac:dyDescent="0.25">
      <c r="A75">
        <v>76864</v>
      </c>
      <c r="B75" t="s">
        <v>107</v>
      </c>
      <c r="C75" t="s">
        <v>38</v>
      </c>
      <c r="D75">
        <v>4</v>
      </c>
      <c r="E75" s="5">
        <f>SUM(LARGE(U75:W75,{1,2}))</f>
        <v>15</v>
      </c>
      <c r="F75" s="5">
        <f>MAX(U14Mcombined[[#This Row],[pts0119]],U14Mcombined[[#This Row],[pts0118]],U14Mcombined[[#This Row],[pts0120]])</f>
        <v>15</v>
      </c>
      <c r="G75" s="5">
        <f>MAX(U14Mcombined[[#This Row],[pts0117]],U14Mcombined[[#This Row],[pts0123]])</f>
        <v>7</v>
      </c>
      <c r="H75" s="5">
        <f>IFERROR(VLOOKUP(U14Mcombined[[#This Row],[Card]],results0117[],3,FALSE),999)</f>
        <v>53</v>
      </c>
      <c r="I75" s="5">
        <f>VLOOKUP(U14Mcombined[[#This Row],[pos0117]],pointstable[],2,FALSE)</f>
        <v>7</v>
      </c>
      <c r="J75" s="5">
        <f>IFERROR(VLOOKUP(U14Mcombined[[#This Row],[Card]],results0119[],3,FALSE),999)</f>
        <v>45</v>
      </c>
      <c r="K75" s="5">
        <f>VLOOKUP(U14Mcombined[[#This Row],[pos0119]],pointstable[],2,FALSE)</f>
        <v>15</v>
      </c>
      <c r="L75" s="5">
        <f>IFERROR(VLOOKUP(U14Mcombined[[#This Row],[Card]],results0118[],3,FALSE),999)</f>
        <v>999</v>
      </c>
      <c r="M75" s="5">
        <f>VLOOKUP(U14Mcombined[[#This Row],[pos0118]],pointstable[],2,FALSE)</f>
        <v>0</v>
      </c>
      <c r="N75" s="5">
        <f>IFERROR(VLOOKUP(U14Mcombined[[#This Row],[Card]],results0123[],3,FALSE),999)</f>
        <v>53</v>
      </c>
      <c r="O75" s="5">
        <f>VLOOKUP(U14Mcombined[[#This Row],[pos0123]],pointstable[],2,FALSE)</f>
        <v>7</v>
      </c>
      <c r="P75" s="5">
        <f>IFERROR(VLOOKUP(U14Mcombined[[#This Row],[Card]],results0120[],3,FALSE),999)</f>
        <v>999</v>
      </c>
      <c r="Q75" s="5">
        <f>VLOOKUP(U14Mcombined[[#This Row],[pos0120]],pointstable[],2,FALSE)</f>
        <v>0</v>
      </c>
      <c r="R75" s="5">
        <f>IFERROR(VLOOKUP(U14Mcombined[[#This Row],[Card]],results0124[],3,FALSE),999)</f>
        <v>999</v>
      </c>
      <c r="S75" s="5">
        <f>IFERROR(VLOOKUP(U14Mcombined[[#This Row],[Card]],results0140[],3,FALSE),999)</f>
        <v>999</v>
      </c>
      <c r="T75" s="5">
        <f>IFERROR(VLOOKUP(U14Mcombined[[#This Row],[Card]],results0125[],3,FALSE),999)</f>
        <v>45</v>
      </c>
      <c r="U75" s="5">
        <f>VLOOKUP(U14Mcombined[[#This Row],[pos0124]],pointstable[],2,FALSE)</f>
        <v>0</v>
      </c>
      <c r="V75" s="5">
        <f>VLOOKUP(U14Mcombined[[#This Row],[pos0140]],pointstable[],2,FALSE)</f>
        <v>0</v>
      </c>
      <c r="W75" s="5">
        <f>VLOOKUP(U14Mcombined[[#This Row],[pos0125]],pointstable[],2,FALSE)</f>
        <v>15</v>
      </c>
    </row>
    <row r="76" spans="1:23" x14ac:dyDescent="0.25">
      <c r="A76">
        <v>80692</v>
      </c>
      <c r="B76" s="5" t="s">
        <v>317</v>
      </c>
      <c r="C76" s="5" t="s">
        <v>31</v>
      </c>
      <c r="D76" s="5">
        <v>5</v>
      </c>
      <c r="E76" s="5">
        <f>SUM(LARGE(U76:W76,{1,2}))</f>
        <v>30</v>
      </c>
      <c r="F76" s="5">
        <f>MAX(U14Mcombined[[#This Row],[pts0119]],U14Mcombined[[#This Row],[pts0118]],U14Mcombined[[#This Row],[pts0120]])</f>
        <v>5</v>
      </c>
      <c r="G76" s="5">
        <f>MAX(U14Mcombined[[#This Row],[pts0117]],U14Mcombined[[#This Row],[pts0123]])</f>
        <v>0</v>
      </c>
      <c r="H76" s="5">
        <f>IFERROR(VLOOKUP(U14Mcombined[[#This Row],[Card]],results0117[],3,FALSE),999)</f>
        <v>999</v>
      </c>
      <c r="I76" s="5">
        <f>VLOOKUP(U14Mcombined[[#This Row],[pos0117]],pointstable[],2,FALSE)</f>
        <v>0</v>
      </c>
      <c r="J76" s="5">
        <f>IFERROR(VLOOKUP(U14Mcombined[[#This Row],[Card]],results0119[],3,FALSE),999)</f>
        <v>999</v>
      </c>
      <c r="K76" s="5">
        <f>VLOOKUP(U14Mcombined[[#This Row],[pos0119]],pointstable[],2,FALSE)</f>
        <v>0</v>
      </c>
      <c r="L76" s="5">
        <f>IFERROR(VLOOKUP(U14Mcombined[[#This Row],[Card]],results0118[],3,FALSE),999)</f>
        <v>62</v>
      </c>
      <c r="M76" s="5">
        <f>VLOOKUP(U14Mcombined[[#This Row],[pos0118]],pointstable[],2,FALSE)</f>
        <v>0</v>
      </c>
      <c r="N76" s="5">
        <f>IFERROR(VLOOKUP(U14Mcombined[[#This Row],[Card]],results0123[],3,FALSE),999)</f>
        <v>65</v>
      </c>
      <c r="O76" s="5">
        <f>VLOOKUP(U14Mcombined[[#This Row],[pos0123]],pointstable[],2,FALSE)</f>
        <v>0</v>
      </c>
      <c r="P76" s="5">
        <f>IFERROR(VLOOKUP(U14Mcombined[[#This Row],[Card]],results0120[],3,FALSE),999)</f>
        <v>55</v>
      </c>
      <c r="Q76" s="5">
        <f>VLOOKUP(U14Mcombined[[#This Row],[pos0120]],pointstable[],2,FALSE)</f>
        <v>5</v>
      </c>
      <c r="R76" s="5">
        <f>IFERROR(VLOOKUP(U14Mcombined[[#This Row],[Card]],results0124[],3,FALSE),999)</f>
        <v>81</v>
      </c>
      <c r="S76" s="5">
        <f>IFERROR(VLOOKUP(U14Mcombined[[#This Row],[Card]],results0140[],3,FALSE),999)</f>
        <v>30</v>
      </c>
      <c r="T76" s="5">
        <f>IFERROR(VLOOKUP(U14Mcombined[[#This Row],[Card]],results0125[],3,FALSE),999)</f>
        <v>71</v>
      </c>
      <c r="U76" s="5">
        <f>VLOOKUP(U14Mcombined[[#This Row],[pos0124]],pointstable[],2,FALSE)</f>
        <v>0</v>
      </c>
      <c r="V76" s="5">
        <f>VLOOKUP(U14Mcombined[[#This Row],[pos0140]],pointstable[],2,FALSE)</f>
        <v>30</v>
      </c>
      <c r="W76" s="5">
        <f>VLOOKUP(U14Mcombined[[#This Row],[pos0125]],pointstable[],2,FALSE)</f>
        <v>0</v>
      </c>
    </row>
    <row r="77" spans="1:23" x14ac:dyDescent="0.25">
      <c r="A77">
        <v>85853</v>
      </c>
      <c r="B77" t="s">
        <v>82</v>
      </c>
      <c r="C77" t="s">
        <v>15</v>
      </c>
      <c r="D77">
        <v>5</v>
      </c>
      <c r="E77" s="5">
        <f>SUM(LARGE(U77:W77,{1,2}))</f>
        <v>0</v>
      </c>
      <c r="F77" s="5">
        <f>MAX(U14Mcombined[[#This Row],[pts0119]],U14Mcombined[[#This Row],[pts0118]],U14Mcombined[[#This Row],[pts0120]])</f>
        <v>47</v>
      </c>
      <c r="G77" s="5">
        <f>MAX(U14Mcombined[[#This Row],[pts0117]],U14Mcombined[[#This Row],[pts0123]])</f>
        <v>29</v>
      </c>
      <c r="H77" s="5">
        <f>IFERROR(VLOOKUP(U14Mcombined[[#This Row],[Card]],results0117[],3,FALSE),999)</f>
        <v>31</v>
      </c>
      <c r="I77" s="5">
        <f>VLOOKUP(U14Mcombined[[#This Row],[pos0117]],pointstable[],2,FALSE)</f>
        <v>29</v>
      </c>
      <c r="J77" s="5">
        <f>IFERROR(VLOOKUP(U14Mcombined[[#This Row],[Card]],results0119[],3,FALSE),999)</f>
        <v>23</v>
      </c>
      <c r="K77" s="5">
        <f>VLOOKUP(U14Mcombined[[#This Row],[pos0119]],pointstable[],2,FALSE)</f>
        <v>44</v>
      </c>
      <c r="L77" s="5">
        <f>IFERROR(VLOOKUP(U14Mcombined[[#This Row],[Card]],results0118[],3,FALSE),999)</f>
        <v>55</v>
      </c>
      <c r="M77" s="5">
        <f>VLOOKUP(U14Mcombined[[#This Row],[pos0118]],pointstable[],2,FALSE)</f>
        <v>5</v>
      </c>
      <c r="N77" s="5">
        <f>IFERROR(VLOOKUP(U14Mcombined[[#This Row],[Card]],results0123[],3,FALSE),999)</f>
        <v>999</v>
      </c>
      <c r="O77" s="5">
        <f>VLOOKUP(U14Mcombined[[#This Row],[pos0123]],pointstable[],2,FALSE)</f>
        <v>0</v>
      </c>
      <c r="P77" s="5">
        <f>IFERROR(VLOOKUP(U14Mcombined[[#This Row],[Card]],results0120[],3,FALSE),999)</f>
        <v>22</v>
      </c>
      <c r="Q77" s="5">
        <f>VLOOKUP(U14Mcombined[[#This Row],[pos0120]],pointstable[],2,FALSE)</f>
        <v>47</v>
      </c>
      <c r="R77" s="5">
        <f>IFERROR(VLOOKUP(U14Mcombined[[#This Row],[Card]],results0124[],3,FALSE),999)</f>
        <v>999</v>
      </c>
      <c r="S77" s="5">
        <f>IFERROR(VLOOKUP(U14Mcombined[[#This Row],[Card]],results0140[],3,FALSE),999)</f>
        <v>999</v>
      </c>
      <c r="T77" s="5">
        <f>IFERROR(VLOOKUP(U14Mcombined[[#This Row],[Card]],results0125[],3,FALSE),999)</f>
        <v>91</v>
      </c>
      <c r="U77" s="5">
        <f>VLOOKUP(U14Mcombined[[#This Row],[pos0124]],pointstable[],2,FALSE)</f>
        <v>0</v>
      </c>
      <c r="V77" s="5">
        <f>VLOOKUP(U14Mcombined[[#This Row],[pos0140]],pointstable[],2,FALSE)</f>
        <v>0</v>
      </c>
      <c r="W77" s="5">
        <f>VLOOKUP(U14Mcombined[[#This Row],[pos0125]],pointstable[],2,FALSE)</f>
        <v>0</v>
      </c>
    </row>
    <row r="78" spans="1:23" x14ac:dyDescent="0.25">
      <c r="A78">
        <v>81505</v>
      </c>
      <c r="B78" s="5" t="s">
        <v>315</v>
      </c>
      <c r="C78" s="5" t="s">
        <v>22</v>
      </c>
      <c r="D78" s="5">
        <v>5</v>
      </c>
      <c r="E78" s="5">
        <f>SUM(LARGE(U78:W78,{1,2}))</f>
        <v>29</v>
      </c>
      <c r="F78" s="5">
        <f>MAX(U14Mcombined[[#This Row],[pts0119]],U14Mcombined[[#This Row],[pts0118]],U14Mcombined[[#This Row],[pts0120]])</f>
        <v>10</v>
      </c>
      <c r="G78" s="5">
        <f>MAX(U14Mcombined[[#This Row],[pts0117]],U14Mcombined[[#This Row],[pts0123]])</f>
        <v>0</v>
      </c>
      <c r="H78" s="5">
        <f>IFERROR(VLOOKUP(U14Mcombined[[#This Row],[Card]],results0117[],3,FALSE),999)</f>
        <v>69</v>
      </c>
      <c r="I78" s="5">
        <f>VLOOKUP(U14Mcombined[[#This Row],[pos0117]],pointstable[],2,FALSE)</f>
        <v>0</v>
      </c>
      <c r="J78" s="5">
        <f>IFERROR(VLOOKUP(U14Mcombined[[#This Row],[Card]],results0119[],3,FALSE),999)</f>
        <v>999</v>
      </c>
      <c r="K78" s="5">
        <f>VLOOKUP(U14Mcombined[[#This Row],[pos0119]],pointstable[],2,FALSE)</f>
        <v>0</v>
      </c>
      <c r="L78" s="5">
        <f>IFERROR(VLOOKUP(U14Mcombined[[#This Row],[Card]],results0118[],3,FALSE),999)</f>
        <v>82</v>
      </c>
      <c r="M78" s="5">
        <f>VLOOKUP(U14Mcombined[[#This Row],[pos0118]],pointstable[],2,FALSE)</f>
        <v>0</v>
      </c>
      <c r="N78" s="5">
        <f>IFERROR(VLOOKUP(U14Mcombined[[#This Row],[Card]],results0123[],3,FALSE),999)</f>
        <v>74</v>
      </c>
      <c r="O78" s="5">
        <f>VLOOKUP(U14Mcombined[[#This Row],[pos0123]],pointstable[],2,FALSE)</f>
        <v>0</v>
      </c>
      <c r="P78" s="5">
        <f>IFERROR(VLOOKUP(U14Mcombined[[#This Row],[Card]],results0120[],3,FALSE),999)</f>
        <v>50</v>
      </c>
      <c r="Q78" s="5">
        <f>VLOOKUP(U14Mcombined[[#This Row],[pos0120]],pointstable[],2,FALSE)</f>
        <v>10</v>
      </c>
      <c r="R78" s="5">
        <f>IFERROR(VLOOKUP(U14Mcombined[[#This Row],[Card]],results0124[],3,FALSE),999)</f>
        <v>80</v>
      </c>
      <c r="S78" s="5">
        <f>IFERROR(VLOOKUP(U14Mcombined[[#This Row],[Card]],results0140[],3,FALSE),999)</f>
        <v>31</v>
      </c>
      <c r="T78" s="5">
        <f>IFERROR(VLOOKUP(U14Mcombined[[#This Row],[Card]],results0125[],3,FALSE),999)</f>
        <v>68</v>
      </c>
      <c r="U78" s="5">
        <f>VLOOKUP(U14Mcombined[[#This Row],[pos0124]],pointstable[],2,FALSE)</f>
        <v>0</v>
      </c>
      <c r="V78" s="5">
        <f>VLOOKUP(U14Mcombined[[#This Row],[pos0140]],pointstable[],2,FALSE)</f>
        <v>29</v>
      </c>
      <c r="W78" s="5">
        <f>VLOOKUP(U14Mcombined[[#This Row],[pos0125]],pointstable[],2,FALSE)</f>
        <v>0</v>
      </c>
    </row>
    <row r="79" spans="1:23" x14ac:dyDescent="0.25">
      <c r="A79">
        <v>78504</v>
      </c>
      <c r="B79" t="s">
        <v>210</v>
      </c>
      <c r="C79" t="s">
        <v>19</v>
      </c>
      <c r="D79">
        <v>5</v>
      </c>
      <c r="E79" s="5">
        <f>SUM(LARGE(U79:W79,{1,2}))</f>
        <v>28</v>
      </c>
      <c r="F79" s="5">
        <f>MAX(U14Mcombined[[#This Row],[pts0119]],U14Mcombined[[#This Row],[pts0118]],U14Mcombined[[#This Row],[pts0120]])</f>
        <v>0</v>
      </c>
      <c r="G79" s="5">
        <f>MAX(U14Mcombined[[#This Row],[pts0117]],U14Mcombined[[#This Row],[pts0123]])</f>
        <v>0</v>
      </c>
      <c r="H79" s="5">
        <f>IFERROR(VLOOKUP(U14Mcombined[[#This Row],[Card]],results0117[],3,FALSE),999)</f>
        <v>999</v>
      </c>
      <c r="I79" s="5">
        <f>VLOOKUP(U14Mcombined[[#This Row],[pos0117]],pointstable[],2,FALSE)</f>
        <v>0</v>
      </c>
      <c r="J79" s="5">
        <f>IFERROR(VLOOKUP(U14Mcombined[[#This Row],[Card]],results0119[],3,FALSE),999)</f>
        <v>62</v>
      </c>
      <c r="K79" s="5">
        <f>VLOOKUP(U14Mcombined[[#This Row],[pos0119]],pointstable[],2,FALSE)</f>
        <v>0</v>
      </c>
      <c r="L79" s="5">
        <f>IFERROR(VLOOKUP(U14Mcombined[[#This Row],[Card]],results0118[],3,FALSE),999)</f>
        <v>75</v>
      </c>
      <c r="M79" s="5">
        <f>VLOOKUP(U14Mcombined[[#This Row],[pos0118]],pointstable[],2,FALSE)</f>
        <v>0</v>
      </c>
      <c r="N79" s="5">
        <f>IFERROR(VLOOKUP(U14Mcombined[[#This Row],[Card]],results0123[],3,FALSE),999)</f>
        <v>78</v>
      </c>
      <c r="O79" s="5">
        <f>VLOOKUP(U14Mcombined[[#This Row],[pos0123]],pointstable[],2,FALSE)</f>
        <v>0</v>
      </c>
      <c r="P79" s="5">
        <f>IFERROR(VLOOKUP(U14Mcombined[[#This Row],[Card]],results0120[],3,FALSE),999)</f>
        <v>999</v>
      </c>
      <c r="Q79" s="5">
        <f>VLOOKUP(U14Mcombined[[#This Row],[pos0120]],pointstable[],2,FALSE)</f>
        <v>0</v>
      </c>
      <c r="R79" s="5">
        <f>IFERROR(VLOOKUP(U14Mcombined[[#This Row],[Card]],results0124[],3,FALSE),999)</f>
        <v>79</v>
      </c>
      <c r="S79" s="5">
        <f>IFERROR(VLOOKUP(U14Mcombined[[#This Row],[Card]],results0140[],3,FALSE),999)</f>
        <v>32</v>
      </c>
      <c r="T79" s="5">
        <f>IFERROR(VLOOKUP(U14Mcombined[[#This Row],[Card]],results0125[],3,FALSE),999)</f>
        <v>81</v>
      </c>
      <c r="U79" s="5">
        <f>VLOOKUP(U14Mcombined[[#This Row],[pos0124]],pointstable[],2,FALSE)</f>
        <v>0</v>
      </c>
      <c r="V79" s="5">
        <f>VLOOKUP(U14Mcombined[[#This Row],[pos0140]],pointstable[],2,FALSE)</f>
        <v>28</v>
      </c>
      <c r="W79" s="5">
        <f>VLOOKUP(U14Mcombined[[#This Row],[pos0125]],pointstable[],2,FALSE)</f>
        <v>0</v>
      </c>
    </row>
    <row r="80" spans="1:23" x14ac:dyDescent="0.25">
      <c r="A80">
        <v>85772</v>
      </c>
      <c r="B80" t="s">
        <v>196</v>
      </c>
      <c r="C80" t="s">
        <v>15</v>
      </c>
      <c r="D80">
        <v>5</v>
      </c>
      <c r="E80" s="5">
        <f>SUM(LARGE(U80:W80,{1,2}))</f>
        <v>28</v>
      </c>
      <c r="F80" s="5">
        <f>MAX(U14Mcombined[[#This Row],[pts0119]],U14Mcombined[[#This Row],[pts0118]],U14Mcombined[[#This Row],[pts0120]])</f>
        <v>17</v>
      </c>
      <c r="G80" s="5">
        <f>MAX(U14Mcombined[[#This Row],[pts0117]],U14Mcombined[[#This Row],[pts0123]])</f>
        <v>17</v>
      </c>
      <c r="H80" s="5">
        <f>IFERROR(VLOOKUP(U14Mcombined[[#This Row],[Card]],results0117[],3,FALSE),999)</f>
        <v>43</v>
      </c>
      <c r="I80" s="5">
        <f>VLOOKUP(U14Mcombined[[#This Row],[pos0117]],pointstable[],2,FALSE)</f>
        <v>17</v>
      </c>
      <c r="J80" s="5">
        <f>IFERROR(VLOOKUP(U14Mcombined[[#This Row],[Card]],results0119[],3,FALSE),999)</f>
        <v>43</v>
      </c>
      <c r="K80" s="5">
        <f>VLOOKUP(U14Mcombined[[#This Row],[pos0119]],pointstable[],2,FALSE)</f>
        <v>17</v>
      </c>
      <c r="L80" s="5">
        <f>IFERROR(VLOOKUP(U14Mcombined[[#This Row],[Card]],results0118[],3,FALSE),999)</f>
        <v>43</v>
      </c>
      <c r="M80" s="5">
        <f>VLOOKUP(U14Mcombined[[#This Row],[pos0118]],pointstable[],2,FALSE)</f>
        <v>17</v>
      </c>
      <c r="N80" s="5">
        <f>IFERROR(VLOOKUP(U14Mcombined[[#This Row],[Card]],results0123[],3,FALSE),999)</f>
        <v>44</v>
      </c>
      <c r="O80" s="5">
        <f>VLOOKUP(U14Mcombined[[#This Row],[pos0123]],pointstable[],2,FALSE)</f>
        <v>16</v>
      </c>
      <c r="P80" s="5">
        <f>IFERROR(VLOOKUP(U14Mcombined[[#This Row],[Card]],results0120[],3,FALSE),999)</f>
        <v>999</v>
      </c>
      <c r="Q80" s="5">
        <f>VLOOKUP(U14Mcombined[[#This Row],[pos0120]],pointstable[],2,FALSE)</f>
        <v>0</v>
      </c>
      <c r="R80" s="5">
        <f>IFERROR(VLOOKUP(U14Mcombined[[#This Row],[Card]],results0124[],3,FALSE),999)</f>
        <v>999</v>
      </c>
      <c r="S80" s="5">
        <f>IFERROR(VLOOKUP(U14Mcombined[[#This Row],[Card]],results0140[],3,FALSE),999)</f>
        <v>999</v>
      </c>
      <c r="T80" s="5">
        <f>IFERROR(VLOOKUP(U14Mcombined[[#This Row],[Card]],results0125[],3,FALSE),999)</f>
        <v>32</v>
      </c>
      <c r="U80" s="5">
        <f>VLOOKUP(U14Mcombined[[#This Row],[pos0124]],pointstable[],2,FALSE)</f>
        <v>0</v>
      </c>
      <c r="V80" s="5">
        <f>VLOOKUP(U14Mcombined[[#This Row],[pos0140]],pointstable[],2,FALSE)</f>
        <v>0</v>
      </c>
      <c r="W80" s="5">
        <f>VLOOKUP(U14Mcombined[[#This Row],[pos0125]],pointstable[],2,FALSE)</f>
        <v>28</v>
      </c>
    </row>
    <row r="81" spans="1:23" x14ac:dyDescent="0.25">
      <c r="A81">
        <v>82442</v>
      </c>
      <c r="B81" t="s">
        <v>204</v>
      </c>
      <c r="C81" t="s">
        <v>42</v>
      </c>
      <c r="D81">
        <v>5</v>
      </c>
      <c r="E81" s="5">
        <f>SUM(LARGE(U81:W81,{1,2}))</f>
        <v>27</v>
      </c>
      <c r="F81" s="5">
        <f>MAX(U14Mcombined[[#This Row],[pts0119]],U14Mcombined[[#This Row],[pts0118]],U14Mcombined[[#This Row],[pts0120]])</f>
        <v>7</v>
      </c>
      <c r="G81" s="5">
        <f>MAX(U14Mcombined[[#This Row],[pts0117]],U14Mcombined[[#This Row],[pts0123]])</f>
        <v>0</v>
      </c>
      <c r="H81" s="5">
        <f>IFERROR(VLOOKUP(U14Mcombined[[#This Row],[Card]],results0117[],3,FALSE),999)</f>
        <v>71</v>
      </c>
      <c r="I81" s="5">
        <f>VLOOKUP(U14Mcombined[[#This Row],[pos0117]],pointstable[],2,FALSE)</f>
        <v>0</v>
      </c>
      <c r="J81" s="5">
        <f>IFERROR(VLOOKUP(U14Mcombined[[#This Row],[Card]],results0119[],3,FALSE),999)</f>
        <v>59</v>
      </c>
      <c r="K81" s="5">
        <f>VLOOKUP(U14Mcombined[[#This Row],[pos0119]],pointstable[],2,FALSE)</f>
        <v>1</v>
      </c>
      <c r="L81" s="5">
        <f>IFERROR(VLOOKUP(U14Mcombined[[#This Row],[Card]],results0118[],3,FALSE),999)</f>
        <v>81</v>
      </c>
      <c r="M81" s="5">
        <f>VLOOKUP(U14Mcombined[[#This Row],[pos0118]],pointstable[],2,FALSE)</f>
        <v>0</v>
      </c>
      <c r="N81" s="5">
        <f>IFERROR(VLOOKUP(U14Mcombined[[#This Row],[Card]],results0123[],3,FALSE),999)</f>
        <v>76</v>
      </c>
      <c r="O81" s="5">
        <f>VLOOKUP(U14Mcombined[[#This Row],[pos0123]],pointstable[],2,FALSE)</f>
        <v>0</v>
      </c>
      <c r="P81" s="5">
        <f>IFERROR(VLOOKUP(U14Mcombined[[#This Row],[Card]],results0120[],3,FALSE),999)</f>
        <v>53</v>
      </c>
      <c r="Q81" s="5">
        <f>VLOOKUP(U14Mcombined[[#This Row],[pos0120]],pointstable[],2,FALSE)</f>
        <v>7</v>
      </c>
      <c r="R81" s="5">
        <f>IFERROR(VLOOKUP(U14Mcombined[[#This Row],[Card]],results0124[],3,FALSE),999)</f>
        <v>83</v>
      </c>
      <c r="S81" s="5">
        <f>IFERROR(VLOOKUP(U14Mcombined[[#This Row],[Card]],results0140[],3,FALSE),999)</f>
        <v>33</v>
      </c>
      <c r="T81" s="5">
        <f>IFERROR(VLOOKUP(U14Mcombined[[#This Row],[Card]],results0125[],3,FALSE),999)</f>
        <v>79</v>
      </c>
      <c r="U81" s="5">
        <f>VLOOKUP(U14Mcombined[[#This Row],[pos0124]],pointstable[],2,FALSE)</f>
        <v>0</v>
      </c>
      <c r="V81" s="5">
        <f>VLOOKUP(U14Mcombined[[#This Row],[pos0140]],pointstable[],2,FALSE)</f>
        <v>27</v>
      </c>
      <c r="W81" s="5">
        <f>VLOOKUP(U14Mcombined[[#This Row],[pos0125]],pointstable[],2,FALSE)</f>
        <v>0</v>
      </c>
    </row>
    <row r="82" spans="1:23" x14ac:dyDescent="0.25">
      <c r="A82">
        <v>81801</v>
      </c>
      <c r="B82" t="s">
        <v>208</v>
      </c>
      <c r="C82" t="s">
        <v>61</v>
      </c>
      <c r="D82">
        <v>5</v>
      </c>
      <c r="E82" s="5">
        <f>SUM(LARGE(U82:W82,{1,2}))</f>
        <v>25</v>
      </c>
      <c r="F82" s="5">
        <f>MAX(U14Mcombined[[#This Row],[pts0119]],U14Mcombined[[#This Row],[pts0118]],U14Mcombined[[#This Row],[pts0120]])</f>
        <v>2</v>
      </c>
      <c r="G82" s="5">
        <f>MAX(U14Mcombined[[#This Row],[pts0117]],U14Mcombined[[#This Row],[pts0123]])</f>
        <v>0</v>
      </c>
      <c r="H82" s="5">
        <f>IFERROR(VLOOKUP(U14Mcombined[[#This Row],[Card]],results0117[],3,FALSE),999)</f>
        <v>78</v>
      </c>
      <c r="I82" s="5">
        <f>VLOOKUP(U14Mcombined[[#This Row],[pos0117]],pointstable[],2,FALSE)</f>
        <v>0</v>
      </c>
      <c r="J82" s="5">
        <f>IFERROR(VLOOKUP(U14Mcombined[[#This Row],[Card]],results0119[],3,FALSE),999)</f>
        <v>61</v>
      </c>
      <c r="K82" s="5">
        <f>VLOOKUP(U14Mcombined[[#This Row],[pos0119]],pointstable[],2,FALSE)</f>
        <v>0</v>
      </c>
      <c r="L82" s="5">
        <f>IFERROR(VLOOKUP(U14Mcombined[[#This Row],[Card]],results0118[],3,FALSE),999)</f>
        <v>83</v>
      </c>
      <c r="M82" s="5">
        <f>VLOOKUP(U14Mcombined[[#This Row],[pos0118]],pointstable[],2,FALSE)</f>
        <v>0</v>
      </c>
      <c r="N82" s="5">
        <f>IFERROR(VLOOKUP(U14Mcombined[[#This Row],[Card]],results0123[],3,FALSE),999)</f>
        <v>81</v>
      </c>
      <c r="O82" s="5">
        <f>VLOOKUP(U14Mcombined[[#This Row],[pos0123]],pointstable[],2,FALSE)</f>
        <v>0</v>
      </c>
      <c r="P82" s="5">
        <f>IFERROR(VLOOKUP(U14Mcombined[[#This Row],[Card]],results0120[],3,FALSE),999)</f>
        <v>58</v>
      </c>
      <c r="Q82" s="5">
        <f>VLOOKUP(U14Mcombined[[#This Row],[pos0120]],pointstable[],2,FALSE)</f>
        <v>2</v>
      </c>
      <c r="R82" s="5">
        <f>IFERROR(VLOOKUP(U14Mcombined[[#This Row],[Card]],results0124[],3,FALSE),999)</f>
        <v>86</v>
      </c>
      <c r="S82" s="5">
        <f>IFERROR(VLOOKUP(U14Mcombined[[#This Row],[Card]],results0140[],3,FALSE),999)</f>
        <v>35</v>
      </c>
      <c r="T82" s="5">
        <f>IFERROR(VLOOKUP(U14Mcombined[[#This Row],[Card]],results0125[],3,FALSE),999)</f>
        <v>87</v>
      </c>
      <c r="U82" s="5">
        <f>VLOOKUP(U14Mcombined[[#This Row],[pos0124]],pointstable[],2,FALSE)</f>
        <v>0</v>
      </c>
      <c r="V82" s="5">
        <f>VLOOKUP(U14Mcombined[[#This Row],[pos0140]],pointstable[],2,FALSE)</f>
        <v>25</v>
      </c>
      <c r="W82" s="5">
        <f>VLOOKUP(U14Mcombined[[#This Row],[pos0125]],pointstable[],2,FALSE)</f>
        <v>0</v>
      </c>
    </row>
    <row r="83" spans="1:23" x14ac:dyDescent="0.25">
      <c r="A83">
        <v>81880</v>
      </c>
      <c r="B83" t="s">
        <v>212</v>
      </c>
      <c r="C83" t="s">
        <v>61</v>
      </c>
      <c r="D83">
        <v>5</v>
      </c>
      <c r="E83" s="5">
        <f>SUM(LARGE(U83:W83,{1,2}))</f>
        <v>24</v>
      </c>
      <c r="F83" s="5">
        <f>MAX(U14Mcombined[[#This Row],[pts0119]],U14Mcombined[[#This Row],[pts0118]],U14Mcombined[[#This Row],[pts0120]])</f>
        <v>0</v>
      </c>
      <c r="G83" s="5">
        <f>MAX(U14Mcombined[[#This Row],[pts0117]],U14Mcombined[[#This Row],[pts0123]])</f>
        <v>0</v>
      </c>
      <c r="H83" s="5">
        <f>IFERROR(VLOOKUP(U14Mcombined[[#This Row],[Card]],results0117[],3,FALSE),999)</f>
        <v>999</v>
      </c>
      <c r="I83" s="5">
        <f>VLOOKUP(U14Mcombined[[#This Row],[pos0117]],pointstable[],2,FALSE)</f>
        <v>0</v>
      </c>
      <c r="J83" s="5">
        <f>IFERROR(VLOOKUP(U14Mcombined[[#This Row],[Card]],results0119[],3,FALSE),999)</f>
        <v>999</v>
      </c>
      <c r="K83" s="5">
        <f>VLOOKUP(U14Mcombined[[#This Row],[pos0119]],pointstable[],2,FALSE)</f>
        <v>0</v>
      </c>
      <c r="L83" s="5">
        <f>IFERROR(VLOOKUP(U14Mcombined[[#This Row],[Card]],results0118[],3,FALSE),999)</f>
        <v>87</v>
      </c>
      <c r="M83" s="5">
        <f>VLOOKUP(U14Mcombined[[#This Row],[pos0118]],pointstable[],2,FALSE)</f>
        <v>0</v>
      </c>
      <c r="N83" s="5">
        <f>IFERROR(VLOOKUP(U14Mcombined[[#This Row],[Card]],results0123[],3,FALSE),999)</f>
        <v>82</v>
      </c>
      <c r="O83" s="5">
        <f>VLOOKUP(U14Mcombined[[#This Row],[pos0123]],pointstable[],2,FALSE)</f>
        <v>0</v>
      </c>
      <c r="P83" s="5">
        <f>IFERROR(VLOOKUP(U14Mcombined[[#This Row],[Card]],results0120[],3,FALSE),999)</f>
        <v>61</v>
      </c>
      <c r="Q83" s="5">
        <f>VLOOKUP(U14Mcombined[[#This Row],[pos0120]],pointstable[],2,FALSE)</f>
        <v>0</v>
      </c>
      <c r="R83" s="5">
        <f>IFERROR(VLOOKUP(U14Mcombined[[#This Row],[Card]],results0124[],3,FALSE),999)</f>
        <v>88</v>
      </c>
      <c r="S83" s="5">
        <f>IFERROR(VLOOKUP(U14Mcombined[[#This Row],[Card]],results0140[],3,FALSE),999)</f>
        <v>36</v>
      </c>
      <c r="T83" s="5">
        <f>IFERROR(VLOOKUP(U14Mcombined[[#This Row],[Card]],results0125[],3,FALSE),999)</f>
        <v>92</v>
      </c>
      <c r="U83" s="5">
        <f>VLOOKUP(U14Mcombined[[#This Row],[pos0124]],pointstable[],2,FALSE)</f>
        <v>0</v>
      </c>
      <c r="V83" s="5">
        <f>VLOOKUP(U14Mcombined[[#This Row],[pos0140]],pointstable[],2,FALSE)</f>
        <v>24</v>
      </c>
      <c r="W83" s="5">
        <f>VLOOKUP(U14Mcombined[[#This Row],[pos0125]],pointstable[],2,FALSE)</f>
        <v>0</v>
      </c>
    </row>
    <row r="84" spans="1:23" x14ac:dyDescent="0.25">
      <c r="A84">
        <v>80690</v>
      </c>
      <c r="B84" t="s">
        <v>148</v>
      </c>
      <c r="C84" t="s">
        <v>31</v>
      </c>
      <c r="D84">
        <v>5</v>
      </c>
      <c r="E84" s="5">
        <f>SUM(LARGE(U84:W84,{1,2}))</f>
        <v>23</v>
      </c>
      <c r="F84" s="5">
        <f>MAX(U14Mcombined[[#This Row],[pts0119]],U14Mcombined[[#This Row],[pts0118]],U14Mcombined[[#This Row],[pts0120]])</f>
        <v>36</v>
      </c>
      <c r="G84" s="5">
        <f>MAX(U14Mcombined[[#This Row],[pts0117]],U14Mcombined[[#This Row],[pts0123]])</f>
        <v>30</v>
      </c>
      <c r="H84" s="5">
        <f>IFERROR(VLOOKUP(U14Mcombined[[#This Row],[Card]],results0117[],3,FALSE),999)</f>
        <v>30</v>
      </c>
      <c r="I84" s="5">
        <f>VLOOKUP(U14Mcombined[[#This Row],[pos0117]],pointstable[],2,FALSE)</f>
        <v>30</v>
      </c>
      <c r="J84" s="5">
        <f>IFERROR(VLOOKUP(U14Mcombined[[#This Row],[Card]],results0119[],3,FALSE),999)</f>
        <v>37</v>
      </c>
      <c r="K84" s="5">
        <f>VLOOKUP(U14Mcombined[[#This Row],[pos0119]],pointstable[],2,FALSE)</f>
        <v>23</v>
      </c>
      <c r="L84" s="5">
        <f>IFERROR(VLOOKUP(U14Mcombined[[#This Row],[Card]],results0118[],3,FALSE),999)</f>
        <v>39</v>
      </c>
      <c r="M84" s="5">
        <f>VLOOKUP(U14Mcombined[[#This Row],[pos0118]],pointstable[],2,FALSE)</f>
        <v>21</v>
      </c>
      <c r="N84" s="5">
        <f>IFERROR(VLOOKUP(U14Mcombined[[#This Row],[Card]],results0123[],3,FALSE),999)</f>
        <v>999</v>
      </c>
      <c r="O84" s="5">
        <f>VLOOKUP(U14Mcombined[[#This Row],[pos0123]],pointstable[],2,FALSE)</f>
        <v>0</v>
      </c>
      <c r="P84" s="5">
        <f>IFERROR(VLOOKUP(U14Mcombined[[#This Row],[Card]],results0120[],3,FALSE),999)</f>
        <v>26</v>
      </c>
      <c r="Q84" s="5">
        <f>VLOOKUP(U14Mcombined[[#This Row],[pos0120]],pointstable[],2,FALSE)</f>
        <v>36</v>
      </c>
      <c r="R84" s="5">
        <f>IFERROR(VLOOKUP(U14Mcombined[[#This Row],[Card]],results0124[],3,FALSE),999)</f>
        <v>999</v>
      </c>
      <c r="S84" s="5">
        <f>IFERROR(VLOOKUP(U14Mcombined[[#This Row],[Card]],results0140[],3,FALSE),999)</f>
        <v>999</v>
      </c>
      <c r="T84" s="5">
        <f>IFERROR(VLOOKUP(U14Mcombined[[#This Row],[Card]],results0125[],3,FALSE),999)</f>
        <v>37</v>
      </c>
      <c r="U84" s="5">
        <f>VLOOKUP(U14Mcombined[[#This Row],[pos0124]],pointstable[],2,FALSE)</f>
        <v>0</v>
      </c>
      <c r="V84" s="5">
        <f>VLOOKUP(U14Mcombined[[#This Row],[pos0140]],pointstable[],2,FALSE)</f>
        <v>0</v>
      </c>
      <c r="W84" s="5">
        <f>VLOOKUP(U14Mcombined[[#This Row],[pos0125]],pointstable[],2,FALSE)</f>
        <v>23</v>
      </c>
    </row>
    <row r="85" spans="1:23" x14ac:dyDescent="0.25">
      <c r="A85">
        <v>82143</v>
      </c>
      <c r="B85" t="s">
        <v>111</v>
      </c>
      <c r="C85" t="s">
        <v>112</v>
      </c>
      <c r="D85">
        <v>5</v>
      </c>
      <c r="E85" s="5">
        <f>SUM(LARGE(U85:W85,{1,2}))</f>
        <v>5</v>
      </c>
      <c r="F85" s="5">
        <f>MAX(U14Mcombined[[#This Row],[pts0119]],U14Mcombined[[#This Row],[pts0118]],U14Mcombined[[#This Row],[pts0120]])</f>
        <v>0</v>
      </c>
      <c r="G85" s="5">
        <f>MAX(U14Mcombined[[#This Row],[pts0117]],U14Mcombined[[#This Row],[pts0123]])</f>
        <v>0</v>
      </c>
      <c r="H85" s="5">
        <f>IFERROR(VLOOKUP(U14Mcombined[[#This Row],[Card]],results0117[],3,FALSE),999)</f>
        <v>999</v>
      </c>
      <c r="I85" s="5">
        <f>VLOOKUP(U14Mcombined[[#This Row],[pos0117]],pointstable[],2,FALSE)</f>
        <v>0</v>
      </c>
      <c r="J85" s="5">
        <f>IFERROR(VLOOKUP(U14Mcombined[[#This Row],[Card]],results0119[],3,FALSE),999)</f>
        <v>999</v>
      </c>
      <c r="K85" s="5">
        <f>VLOOKUP(U14Mcombined[[#This Row],[pos0119]],pointstable[],2,FALSE)</f>
        <v>0</v>
      </c>
      <c r="L85" s="5">
        <f>IFERROR(VLOOKUP(U14Mcombined[[#This Row],[Card]],results0118[],3,FALSE),999)</f>
        <v>999</v>
      </c>
      <c r="M85" s="5">
        <f>VLOOKUP(U14Mcombined[[#This Row],[pos0118]],pointstable[],2,FALSE)</f>
        <v>0</v>
      </c>
      <c r="N85" s="5">
        <f>IFERROR(VLOOKUP(U14Mcombined[[#This Row],[Card]],results0123[],3,FALSE),999)</f>
        <v>999</v>
      </c>
      <c r="O85" s="5">
        <f>VLOOKUP(U14Mcombined[[#This Row],[pos0123]],pointstable[],2,FALSE)</f>
        <v>0</v>
      </c>
      <c r="P85" s="5">
        <f>IFERROR(VLOOKUP(U14Mcombined[[#This Row],[Card]],results0120[],3,FALSE),999)</f>
        <v>999</v>
      </c>
      <c r="Q85" s="5">
        <f>VLOOKUP(U14Mcombined[[#This Row],[pos0120]],pointstable[],2,FALSE)</f>
        <v>0</v>
      </c>
      <c r="R85" s="5">
        <f>IFERROR(VLOOKUP(U14Mcombined[[#This Row],[Card]],results0124[],3,FALSE),999)</f>
        <v>55</v>
      </c>
      <c r="S85" s="5">
        <f>IFERROR(VLOOKUP(U14Mcombined[[#This Row],[Card]],results0140[],3,FALSE),999)</f>
        <v>999</v>
      </c>
      <c r="T85" s="5">
        <f>IFERROR(VLOOKUP(U14Mcombined[[#This Row],[Card]],results0125[],3,FALSE),999)</f>
        <v>999</v>
      </c>
      <c r="U85" s="5">
        <f>VLOOKUP(U14Mcombined[[#This Row],[pos0124]],pointstable[],2,FALSE)</f>
        <v>5</v>
      </c>
      <c r="V85" s="5">
        <f>VLOOKUP(U14Mcombined[[#This Row],[pos0140]],pointstable[],2,FALSE)</f>
        <v>0</v>
      </c>
      <c r="W85" s="5">
        <f>VLOOKUP(U14Mcombined[[#This Row],[pos0125]],pointstable[],2,FALSE)</f>
        <v>0</v>
      </c>
    </row>
    <row r="86" spans="1:23" x14ac:dyDescent="0.25">
      <c r="A86">
        <v>81455</v>
      </c>
      <c r="B86" t="s">
        <v>171</v>
      </c>
      <c r="C86" t="s">
        <v>19</v>
      </c>
      <c r="D86">
        <v>5</v>
      </c>
      <c r="E86" s="5">
        <f>SUM(LARGE(U86:W86,{1,2}))</f>
        <v>20</v>
      </c>
      <c r="F86" s="5">
        <f>MAX(U14Mcombined[[#This Row],[pts0119]],U14Mcombined[[#This Row],[pts0118]],U14Mcombined[[#This Row],[pts0120]])</f>
        <v>24</v>
      </c>
      <c r="G86" s="5">
        <f>MAX(U14Mcombined[[#This Row],[pts0117]],U14Mcombined[[#This Row],[pts0123]])</f>
        <v>10</v>
      </c>
      <c r="H86" s="5">
        <f>IFERROR(VLOOKUP(U14Mcombined[[#This Row],[Card]],results0117[],3,FALSE),999)</f>
        <v>999</v>
      </c>
      <c r="I86" s="5">
        <f>VLOOKUP(U14Mcombined[[#This Row],[pos0117]],pointstable[],2,FALSE)</f>
        <v>0</v>
      </c>
      <c r="J86" s="5">
        <f>IFERROR(VLOOKUP(U14Mcombined[[#This Row],[Card]],results0119[],3,FALSE),999)</f>
        <v>999</v>
      </c>
      <c r="K86" s="5">
        <f>VLOOKUP(U14Mcombined[[#This Row],[pos0119]],pointstable[],2,FALSE)</f>
        <v>0</v>
      </c>
      <c r="L86" s="5">
        <f>IFERROR(VLOOKUP(U14Mcombined[[#This Row],[Card]],results0118[],3,FALSE),999)</f>
        <v>48</v>
      </c>
      <c r="M86" s="5">
        <f>VLOOKUP(U14Mcombined[[#This Row],[pos0118]],pointstable[],2,FALSE)</f>
        <v>12</v>
      </c>
      <c r="N86" s="5">
        <f>IFERROR(VLOOKUP(U14Mcombined[[#This Row],[Card]],results0123[],3,FALSE),999)</f>
        <v>50</v>
      </c>
      <c r="O86" s="5">
        <f>VLOOKUP(U14Mcombined[[#This Row],[pos0123]],pointstable[],2,FALSE)</f>
        <v>10</v>
      </c>
      <c r="P86" s="5">
        <f>IFERROR(VLOOKUP(U14Mcombined[[#This Row],[Card]],results0120[],3,FALSE),999)</f>
        <v>36</v>
      </c>
      <c r="Q86" s="5">
        <f>VLOOKUP(U14Mcombined[[#This Row],[pos0120]],pointstable[],2,FALSE)</f>
        <v>24</v>
      </c>
      <c r="R86" s="5">
        <f>IFERROR(VLOOKUP(U14Mcombined[[#This Row],[Card]],results0124[],3,FALSE),999)</f>
        <v>46</v>
      </c>
      <c r="S86" s="5">
        <f>IFERROR(VLOOKUP(U14Mcombined[[#This Row],[Card]],results0140[],3,FALSE),999)</f>
        <v>999</v>
      </c>
      <c r="T86" s="5">
        <f>IFERROR(VLOOKUP(U14Mcombined[[#This Row],[Card]],results0125[],3,FALSE),999)</f>
        <v>54</v>
      </c>
      <c r="U86" s="5">
        <f>VLOOKUP(U14Mcombined[[#This Row],[pos0124]],pointstable[],2,FALSE)</f>
        <v>14</v>
      </c>
      <c r="V86" s="5">
        <f>VLOOKUP(U14Mcombined[[#This Row],[pos0140]],pointstable[],2,FALSE)</f>
        <v>0</v>
      </c>
      <c r="W86" s="5">
        <f>VLOOKUP(U14Mcombined[[#This Row],[pos0125]],pointstable[],2,FALSE)</f>
        <v>6</v>
      </c>
    </row>
    <row r="87" spans="1:23" x14ac:dyDescent="0.25">
      <c r="A87">
        <v>86143</v>
      </c>
      <c r="B87" t="s">
        <v>125</v>
      </c>
      <c r="C87" t="s">
        <v>42</v>
      </c>
      <c r="D87">
        <v>4</v>
      </c>
      <c r="E87" s="5">
        <f>SUM(LARGE(U87:W87,{1,2}))</f>
        <v>9</v>
      </c>
      <c r="F87" s="5">
        <f>MAX(U14Mcombined[[#This Row],[pts0119]],U14Mcombined[[#This Row],[pts0118]],U14Mcombined[[#This Row],[pts0120]])</f>
        <v>32</v>
      </c>
      <c r="G87" s="5">
        <f>MAX(U14Mcombined[[#This Row],[pts0117]],U14Mcombined[[#This Row],[pts0123]])</f>
        <v>0</v>
      </c>
      <c r="H87" s="5">
        <f>IFERROR(VLOOKUP(U14Mcombined[[#This Row],[Card]],results0117[],3,FALSE),999)</f>
        <v>999</v>
      </c>
      <c r="I87" s="5">
        <f>VLOOKUP(U14Mcombined[[#This Row],[pos0117]],pointstable[],2,FALSE)</f>
        <v>0</v>
      </c>
      <c r="J87" s="5">
        <f>IFERROR(VLOOKUP(U14Mcombined[[#This Row],[Card]],results0119[],3,FALSE),999)</f>
        <v>999</v>
      </c>
      <c r="K87" s="5">
        <f>VLOOKUP(U14Mcombined[[#This Row],[pos0119]],pointstable[],2,FALSE)</f>
        <v>0</v>
      </c>
      <c r="L87" s="5">
        <f>IFERROR(VLOOKUP(U14Mcombined[[#This Row],[Card]],results0118[],3,FALSE),999)</f>
        <v>44</v>
      </c>
      <c r="M87" s="5">
        <f>VLOOKUP(U14Mcombined[[#This Row],[pos0118]],pointstable[],2,FALSE)</f>
        <v>16</v>
      </c>
      <c r="N87" s="5">
        <f>IFERROR(VLOOKUP(U14Mcombined[[#This Row],[Card]],results0123[],3,FALSE),999)</f>
        <v>67</v>
      </c>
      <c r="O87" s="5">
        <f>VLOOKUP(U14Mcombined[[#This Row],[pos0123]],pointstable[],2,FALSE)</f>
        <v>0</v>
      </c>
      <c r="P87" s="5">
        <f>IFERROR(VLOOKUP(U14Mcombined[[#This Row],[Card]],results0120[],3,FALSE),999)</f>
        <v>28</v>
      </c>
      <c r="Q87" s="5">
        <f>VLOOKUP(U14Mcombined[[#This Row],[pos0120]],pointstable[],2,FALSE)</f>
        <v>32</v>
      </c>
      <c r="R87" s="5">
        <f>IFERROR(VLOOKUP(U14Mcombined[[#This Row],[Card]],results0124[],3,FALSE),999)</f>
        <v>51</v>
      </c>
      <c r="S87" s="5">
        <f>IFERROR(VLOOKUP(U14Mcombined[[#This Row],[Card]],results0140[],3,FALSE),999)</f>
        <v>999</v>
      </c>
      <c r="T87" s="5">
        <f>IFERROR(VLOOKUP(U14Mcombined[[#This Row],[Card]],results0125[],3,FALSE),999)</f>
        <v>999</v>
      </c>
      <c r="U87" s="5">
        <f>VLOOKUP(U14Mcombined[[#This Row],[pos0124]],pointstable[],2,FALSE)</f>
        <v>9</v>
      </c>
      <c r="V87" s="5">
        <f>VLOOKUP(U14Mcombined[[#This Row],[pos0140]],pointstable[],2,FALSE)</f>
        <v>0</v>
      </c>
      <c r="W87" s="5">
        <f>VLOOKUP(U14Mcombined[[#This Row],[pos0125]],pointstable[],2,FALSE)</f>
        <v>0</v>
      </c>
    </row>
    <row r="88" spans="1:23" x14ac:dyDescent="0.25">
      <c r="A88">
        <v>81139</v>
      </c>
      <c r="B88" t="s">
        <v>177</v>
      </c>
      <c r="C88" t="s">
        <v>22</v>
      </c>
      <c r="D88">
        <v>4</v>
      </c>
      <c r="E88" s="5">
        <f>SUM(LARGE(U88:W88,{1,2}))</f>
        <v>15</v>
      </c>
      <c r="F88" s="5">
        <f>MAX(U14Mcombined[[#This Row],[pts0119]],U14Mcombined[[#This Row],[pts0118]],U14Mcombined[[#This Row],[pts0120]])</f>
        <v>24</v>
      </c>
      <c r="G88" s="5">
        <f>MAX(U14Mcombined[[#This Row],[pts0117]],U14Mcombined[[#This Row],[pts0123]])</f>
        <v>51</v>
      </c>
      <c r="H88" s="5">
        <f>IFERROR(VLOOKUP(U14Mcombined[[#This Row],[Card]],results0117[],3,FALSE),999)</f>
        <v>21</v>
      </c>
      <c r="I88" s="5">
        <f>VLOOKUP(U14Mcombined[[#This Row],[pos0117]],pointstable[],2,FALSE)</f>
        <v>51</v>
      </c>
      <c r="J88" s="5">
        <f>IFERROR(VLOOKUP(U14Mcombined[[#This Row],[Card]],results0119[],3,FALSE),999)</f>
        <v>36</v>
      </c>
      <c r="K88" s="5">
        <f>VLOOKUP(U14Mcombined[[#This Row],[pos0119]],pointstable[],2,FALSE)</f>
        <v>24</v>
      </c>
      <c r="L88" s="5">
        <f>IFERROR(VLOOKUP(U14Mcombined[[#This Row],[Card]],results0118[],3,FALSE),999)</f>
        <v>54</v>
      </c>
      <c r="M88" s="5">
        <f>VLOOKUP(U14Mcombined[[#This Row],[pos0118]],pointstable[],2,FALSE)</f>
        <v>6</v>
      </c>
      <c r="N88" s="5">
        <f>IFERROR(VLOOKUP(U14Mcombined[[#This Row],[Card]],results0123[],3,FALSE),999)</f>
        <v>64</v>
      </c>
      <c r="O88" s="5">
        <f>VLOOKUP(U14Mcombined[[#This Row],[pos0123]],pointstable[],2,FALSE)</f>
        <v>0</v>
      </c>
      <c r="P88" s="5">
        <f>IFERROR(VLOOKUP(U14Mcombined[[#This Row],[Card]],results0120[],3,FALSE),999)</f>
        <v>999</v>
      </c>
      <c r="Q88" s="5">
        <f>VLOOKUP(U14Mcombined[[#This Row],[pos0120]],pointstable[],2,FALSE)</f>
        <v>0</v>
      </c>
      <c r="R88" s="5">
        <f>IFERROR(VLOOKUP(U14Mcombined[[#This Row],[Card]],results0124[],3,FALSE),999)</f>
        <v>45</v>
      </c>
      <c r="S88" s="5">
        <f>IFERROR(VLOOKUP(U14Mcombined[[#This Row],[Card]],results0140[],3,FALSE),999)</f>
        <v>999</v>
      </c>
      <c r="T88" s="5">
        <f>IFERROR(VLOOKUP(U14Mcombined[[#This Row],[Card]],results0125[],3,FALSE),999)</f>
        <v>999</v>
      </c>
      <c r="U88" s="5">
        <f>VLOOKUP(U14Mcombined[[#This Row],[pos0124]],pointstable[],2,FALSE)</f>
        <v>15</v>
      </c>
      <c r="V88" s="5">
        <f>VLOOKUP(U14Mcombined[[#This Row],[pos0140]],pointstable[],2,FALSE)</f>
        <v>0</v>
      </c>
      <c r="W88" s="5">
        <f>VLOOKUP(U14Mcombined[[#This Row],[pos0125]],pointstable[],2,FALSE)</f>
        <v>0</v>
      </c>
    </row>
    <row r="89" spans="1:23" x14ac:dyDescent="0.25">
      <c r="A89">
        <v>78669</v>
      </c>
      <c r="B89" t="s">
        <v>116</v>
      </c>
      <c r="C89" t="s">
        <v>117</v>
      </c>
      <c r="D89">
        <v>4</v>
      </c>
      <c r="E89" s="5">
        <f>SUM(LARGE(U89:W89,{1,2}))</f>
        <v>0</v>
      </c>
      <c r="F89" s="5">
        <f>MAX(U14Mcombined[[#This Row],[pts0119]],U14Mcombined[[#This Row],[pts0118]],U14Mcombined[[#This Row],[pts0120]])</f>
        <v>0</v>
      </c>
      <c r="G89" s="5">
        <f>MAX(U14Mcombined[[#This Row],[pts0117]],U14Mcombined[[#This Row],[pts0123]])</f>
        <v>0</v>
      </c>
      <c r="H89" s="5">
        <f>IFERROR(VLOOKUP(U14Mcombined[[#This Row],[Card]],results0117[],3,FALSE),999)</f>
        <v>61</v>
      </c>
      <c r="I89" s="5">
        <f>VLOOKUP(U14Mcombined[[#This Row],[pos0117]],pointstable[],2,FALSE)</f>
        <v>0</v>
      </c>
      <c r="J89" s="5">
        <f>IFERROR(VLOOKUP(U14Mcombined[[#This Row],[Card]],results0119[],3,FALSE),999)</f>
        <v>999</v>
      </c>
      <c r="K89" s="5">
        <f>VLOOKUP(U14Mcombined[[#This Row],[pos0119]],pointstable[],2,FALSE)</f>
        <v>0</v>
      </c>
      <c r="L89" s="5">
        <f>IFERROR(VLOOKUP(U14Mcombined[[#This Row],[Card]],results0118[],3,FALSE),999)</f>
        <v>999</v>
      </c>
      <c r="M89" s="5">
        <f>VLOOKUP(U14Mcombined[[#This Row],[pos0118]],pointstable[],2,FALSE)</f>
        <v>0</v>
      </c>
      <c r="N89" s="5">
        <f>IFERROR(VLOOKUP(U14Mcombined[[#This Row],[Card]],results0123[],3,FALSE),999)</f>
        <v>999</v>
      </c>
      <c r="O89" s="5">
        <f>VLOOKUP(U14Mcombined[[#This Row],[pos0123]],pointstable[],2,FALSE)</f>
        <v>0</v>
      </c>
      <c r="P89" s="5">
        <f>IFERROR(VLOOKUP(U14Mcombined[[#This Row],[Card]],results0120[],3,FALSE),999)</f>
        <v>999</v>
      </c>
      <c r="Q89" s="5">
        <f>VLOOKUP(U14Mcombined[[#This Row],[pos0120]],pointstable[],2,FALSE)</f>
        <v>0</v>
      </c>
      <c r="R89" s="5">
        <f>IFERROR(VLOOKUP(U14Mcombined[[#This Row],[Card]],results0124[],3,FALSE),999)</f>
        <v>999</v>
      </c>
      <c r="S89" s="5">
        <f>IFERROR(VLOOKUP(U14Mcombined[[#This Row],[Card]],results0140[],3,FALSE),999)</f>
        <v>999</v>
      </c>
      <c r="T89" s="5">
        <f>IFERROR(VLOOKUP(U14Mcombined[[#This Row],[Card]],results0125[],3,FALSE),999)</f>
        <v>86</v>
      </c>
      <c r="U89" s="5">
        <f>VLOOKUP(U14Mcombined[[#This Row],[pos0124]],pointstable[],2,FALSE)</f>
        <v>0</v>
      </c>
      <c r="V89" s="5">
        <f>VLOOKUP(U14Mcombined[[#This Row],[pos0140]],pointstable[],2,FALSE)</f>
        <v>0</v>
      </c>
      <c r="W89" s="5">
        <f>VLOOKUP(U14Mcombined[[#This Row],[pos0125]],pointstable[],2,FALSE)</f>
        <v>0</v>
      </c>
    </row>
    <row r="90" spans="1:23" x14ac:dyDescent="0.25">
      <c r="A90">
        <v>80615</v>
      </c>
      <c r="B90" s="5" t="s">
        <v>292</v>
      </c>
      <c r="C90" s="5" t="s">
        <v>19</v>
      </c>
      <c r="D90">
        <v>4</v>
      </c>
      <c r="E90" s="5">
        <f>SUM(LARGE(U90:W90,{1,2}))</f>
        <v>10</v>
      </c>
      <c r="F90" s="5">
        <f>MAX(U14Mcombined[[#This Row],[pts0119]],U14Mcombined[[#This Row],[pts0118]],U14Mcombined[[#This Row],[pts0120]])</f>
        <v>4</v>
      </c>
      <c r="G90" s="5">
        <f>MAX(U14Mcombined[[#This Row],[pts0117]],U14Mcombined[[#This Row],[pts0123]])</f>
        <v>9</v>
      </c>
      <c r="H90" s="5">
        <f>IFERROR(VLOOKUP(U14Mcombined[[#This Row],[Card]],results0117[],3,FALSE),999)</f>
        <v>57</v>
      </c>
      <c r="I90" s="5">
        <f>VLOOKUP(U14Mcombined[[#This Row],[pos0117]],pointstable[],2,FALSE)</f>
        <v>3</v>
      </c>
      <c r="J90" s="5">
        <f>IFERROR(VLOOKUP(U14Mcombined[[#This Row],[Card]],results0119[],3,FALSE),999)</f>
        <v>999</v>
      </c>
      <c r="K90" s="5">
        <f>VLOOKUP(U14Mcombined[[#This Row],[pos0119]],pointstable[],2,FALSE)</f>
        <v>0</v>
      </c>
      <c r="L90" s="5">
        <f>IFERROR(VLOOKUP(U14Mcombined[[#This Row],[Card]],results0118[],3,FALSE),999)</f>
        <v>56</v>
      </c>
      <c r="M90" s="5">
        <f>VLOOKUP(U14Mcombined[[#This Row],[pos0118]],pointstable[],2,FALSE)</f>
        <v>4</v>
      </c>
      <c r="N90" s="5">
        <f>IFERROR(VLOOKUP(U14Mcombined[[#This Row],[Card]],results0123[],3,FALSE),999)</f>
        <v>51</v>
      </c>
      <c r="O90" s="5">
        <f>VLOOKUP(U14Mcombined[[#This Row],[pos0123]],pointstable[],2,FALSE)</f>
        <v>9</v>
      </c>
      <c r="P90" s="5">
        <f>IFERROR(VLOOKUP(U14Mcombined[[#This Row],[Card]],results0120[],3,FALSE),999)</f>
        <v>999</v>
      </c>
      <c r="Q90" s="5">
        <f>VLOOKUP(U14Mcombined[[#This Row],[pos0120]],pointstable[],2,FALSE)</f>
        <v>0</v>
      </c>
      <c r="R90" s="5">
        <f>IFERROR(VLOOKUP(U14Mcombined[[#This Row],[Card]],results0124[],3,FALSE),999)</f>
        <v>66</v>
      </c>
      <c r="S90" s="5">
        <f>IFERROR(VLOOKUP(U14Mcombined[[#This Row],[Card]],results0140[],3,FALSE),999)</f>
        <v>999</v>
      </c>
      <c r="T90" s="5">
        <f>IFERROR(VLOOKUP(U14Mcombined[[#This Row],[Card]],results0125[],3,FALSE),999)</f>
        <v>50</v>
      </c>
      <c r="U90" s="5">
        <f>VLOOKUP(U14Mcombined[[#This Row],[pos0124]],pointstable[],2,FALSE)</f>
        <v>0</v>
      </c>
      <c r="V90" s="5">
        <f>VLOOKUP(U14Mcombined[[#This Row],[pos0140]],pointstable[],2,FALSE)</f>
        <v>0</v>
      </c>
      <c r="W90" s="5">
        <f>VLOOKUP(U14Mcombined[[#This Row],[pos0125]],pointstable[],2,FALSE)</f>
        <v>10</v>
      </c>
    </row>
    <row r="91" spans="1:23" x14ac:dyDescent="0.25">
      <c r="A91">
        <v>81500</v>
      </c>
      <c r="B91" t="s">
        <v>131</v>
      </c>
      <c r="C91" t="s">
        <v>22</v>
      </c>
      <c r="D91">
        <v>5</v>
      </c>
      <c r="E91" s="5">
        <f>SUM(LARGE(U91:W91,{1,2}))</f>
        <v>0</v>
      </c>
      <c r="F91" s="5">
        <f>MAX(U14Mcombined[[#This Row],[pts0119]],U14Mcombined[[#This Row],[pts0118]],U14Mcombined[[#This Row],[pts0120]])</f>
        <v>14</v>
      </c>
      <c r="G91" s="5">
        <f>MAX(U14Mcombined[[#This Row],[pts0117]],U14Mcombined[[#This Row],[pts0123]])</f>
        <v>23</v>
      </c>
      <c r="H91" s="5">
        <f>IFERROR(VLOOKUP(U14Mcombined[[#This Row],[Card]],results0117[],3,FALSE),999)</f>
        <v>37</v>
      </c>
      <c r="I91" s="5">
        <f>VLOOKUP(U14Mcombined[[#This Row],[pos0117]],pointstable[],2,FALSE)</f>
        <v>23</v>
      </c>
      <c r="J91" s="5">
        <f>IFERROR(VLOOKUP(U14Mcombined[[#This Row],[Card]],results0119[],3,FALSE),999)</f>
        <v>999</v>
      </c>
      <c r="K91" s="5">
        <f>VLOOKUP(U14Mcombined[[#This Row],[pos0119]],pointstable[],2,FALSE)</f>
        <v>0</v>
      </c>
      <c r="L91" s="5">
        <f>IFERROR(VLOOKUP(U14Mcombined[[#This Row],[Card]],results0118[],3,FALSE),999)</f>
        <v>46</v>
      </c>
      <c r="M91" s="5">
        <f>VLOOKUP(U14Mcombined[[#This Row],[pos0118]],pointstable[],2,FALSE)</f>
        <v>14</v>
      </c>
      <c r="N91" s="5">
        <f>IFERROR(VLOOKUP(U14Mcombined[[#This Row],[Card]],results0123[],3,FALSE),999)</f>
        <v>66</v>
      </c>
      <c r="O91" s="5">
        <f>VLOOKUP(U14Mcombined[[#This Row],[pos0123]],pointstable[],2,FALSE)</f>
        <v>0</v>
      </c>
      <c r="P91" s="5">
        <f>IFERROR(VLOOKUP(U14Mcombined[[#This Row],[Card]],results0120[],3,FALSE),999)</f>
        <v>999</v>
      </c>
      <c r="Q91" s="5">
        <f>VLOOKUP(U14Mcombined[[#This Row],[pos0120]],pointstable[],2,FALSE)</f>
        <v>0</v>
      </c>
      <c r="R91" s="5">
        <f>IFERROR(VLOOKUP(U14Mcombined[[#This Row],[Card]],results0124[],3,FALSE),999)</f>
        <v>73</v>
      </c>
      <c r="S91" s="5">
        <f>IFERROR(VLOOKUP(U14Mcombined[[#This Row],[Card]],results0140[],3,FALSE),999)</f>
        <v>999</v>
      </c>
      <c r="T91" s="5">
        <f>IFERROR(VLOOKUP(U14Mcombined[[#This Row],[Card]],results0125[],3,FALSE),999)</f>
        <v>93</v>
      </c>
      <c r="U91" s="5">
        <f>VLOOKUP(U14Mcombined[[#This Row],[pos0124]],pointstable[],2,FALSE)</f>
        <v>0</v>
      </c>
      <c r="V91" s="5">
        <f>VLOOKUP(U14Mcombined[[#This Row],[pos0140]],pointstable[],2,FALSE)</f>
        <v>0</v>
      </c>
      <c r="W91" s="5">
        <f>VLOOKUP(U14Mcombined[[#This Row],[pos0125]],pointstable[],2,FALSE)</f>
        <v>0</v>
      </c>
    </row>
    <row r="92" spans="1:23" x14ac:dyDescent="0.25">
      <c r="A92">
        <v>84692</v>
      </c>
      <c r="B92" t="s">
        <v>173</v>
      </c>
      <c r="C92" t="s">
        <v>22</v>
      </c>
      <c r="D92">
        <v>4</v>
      </c>
      <c r="E92" s="5">
        <f>SUM(LARGE(U92:W92,{1,2}))</f>
        <v>4</v>
      </c>
      <c r="F92" s="5">
        <f>MAX(U14Mcombined[[#This Row],[pts0119]],U14Mcombined[[#This Row],[pts0118]],U14Mcombined[[#This Row],[pts0120]])</f>
        <v>0</v>
      </c>
      <c r="G92" s="5">
        <f>MAX(U14Mcombined[[#This Row],[pts0117]],U14Mcombined[[#This Row],[pts0123]])</f>
        <v>0</v>
      </c>
      <c r="H92" s="5">
        <f>IFERROR(VLOOKUP(U14Mcombined[[#This Row],[Card]],results0117[],3,FALSE),999)</f>
        <v>999</v>
      </c>
      <c r="I92" s="5">
        <f>VLOOKUP(U14Mcombined[[#This Row],[pos0117]],pointstable[],2,FALSE)</f>
        <v>0</v>
      </c>
      <c r="J92" s="5">
        <f>IFERROR(VLOOKUP(U14Mcombined[[#This Row],[Card]],results0119[],3,FALSE),999)</f>
        <v>999</v>
      </c>
      <c r="K92" s="5">
        <f>VLOOKUP(U14Mcombined[[#This Row],[pos0119]],pointstable[],2,FALSE)</f>
        <v>0</v>
      </c>
      <c r="L92" s="5">
        <f>IFERROR(VLOOKUP(U14Mcombined[[#This Row],[Card]],results0118[],3,FALSE),999)</f>
        <v>77</v>
      </c>
      <c r="M92" s="5">
        <f>VLOOKUP(U14Mcombined[[#This Row],[pos0118]],pointstable[],2,FALSE)</f>
        <v>0</v>
      </c>
      <c r="N92" s="5">
        <f>IFERROR(VLOOKUP(U14Mcombined[[#This Row],[Card]],results0123[],3,FALSE),999)</f>
        <v>70</v>
      </c>
      <c r="O92" s="5">
        <f>VLOOKUP(U14Mcombined[[#This Row],[pos0123]],pointstable[],2,FALSE)</f>
        <v>0</v>
      </c>
      <c r="P92" s="5">
        <f>IFERROR(VLOOKUP(U14Mcombined[[#This Row],[Card]],results0120[],3,FALSE),999)</f>
        <v>999</v>
      </c>
      <c r="Q92" s="5">
        <f>VLOOKUP(U14Mcombined[[#This Row],[pos0120]],pointstable[],2,FALSE)</f>
        <v>0</v>
      </c>
      <c r="R92" s="5">
        <f>IFERROR(VLOOKUP(U14Mcombined[[#This Row],[Card]],results0124[],3,FALSE),999)</f>
        <v>56</v>
      </c>
      <c r="S92" s="5">
        <f>IFERROR(VLOOKUP(U14Mcombined[[#This Row],[Card]],results0140[],3,FALSE),999)</f>
        <v>999</v>
      </c>
      <c r="T92" s="5">
        <f>IFERROR(VLOOKUP(U14Mcombined[[#This Row],[Card]],results0125[],3,FALSE),999)</f>
        <v>999</v>
      </c>
      <c r="U92" s="5">
        <f>VLOOKUP(U14Mcombined[[#This Row],[pos0124]],pointstable[],2,FALSE)</f>
        <v>4</v>
      </c>
      <c r="V92" s="5">
        <f>VLOOKUP(U14Mcombined[[#This Row],[pos0140]],pointstable[],2,FALSE)</f>
        <v>0</v>
      </c>
      <c r="W92" s="5">
        <f>VLOOKUP(U14Mcombined[[#This Row],[pos0125]],pointstable[],2,FALSE)</f>
        <v>0</v>
      </c>
    </row>
    <row r="93" spans="1:23" x14ac:dyDescent="0.25">
      <c r="A93">
        <v>78178</v>
      </c>
      <c r="B93" t="s">
        <v>194</v>
      </c>
      <c r="C93" t="s">
        <v>61</v>
      </c>
      <c r="D93">
        <v>4</v>
      </c>
      <c r="E93" s="5">
        <f>SUM(LARGE(U93:W93,{1,2}))</f>
        <v>4</v>
      </c>
      <c r="F93" s="5">
        <f>MAX(U14Mcombined[[#This Row],[pts0119]],U14Mcombined[[#This Row],[pts0118]],U14Mcombined[[#This Row],[pts0120]])</f>
        <v>25</v>
      </c>
      <c r="G93" s="5">
        <f>MAX(U14Mcombined[[#This Row],[pts0117]],U14Mcombined[[#This Row],[pts0123]])</f>
        <v>3</v>
      </c>
      <c r="H93" s="5">
        <f>IFERROR(VLOOKUP(U14Mcombined[[#This Row],[Card]],results0117[],3,FALSE),999)</f>
        <v>999</v>
      </c>
      <c r="I93" s="5">
        <f>VLOOKUP(U14Mcombined[[#This Row],[pos0117]],pointstable[],2,FALSE)</f>
        <v>0</v>
      </c>
      <c r="J93" s="5">
        <f>IFERROR(VLOOKUP(U14Mcombined[[#This Row],[Card]],results0119[],3,FALSE),999)</f>
        <v>999</v>
      </c>
      <c r="K93" s="5">
        <f>VLOOKUP(U14Mcombined[[#This Row],[pos0119]],pointstable[],2,FALSE)</f>
        <v>0</v>
      </c>
      <c r="L93" s="5">
        <f>IFERROR(VLOOKUP(U14Mcombined[[#This Row],[Card]],results0118[],3,FALSE),999)</f>
        <v>49</v>
      </c>
      <c r="M93" s="5">
        <f>VLOOKUP(U14Mcombined[[#This Row],[pos0118]],pointstable[],2,FALSE)</f>
        <v>11</v>
      </c>
      <c r="N93" s="5">
        <f>IFERROR(VLOOKUP(U14Mcombined[[#This Row],[Card]],results0123[],3,FALSE),999)</f>
        <v>57</v>
      </c>
      <c r="O93" s="5">
        <f>VLOOKUP(U14Mcombined[[#This Row],[pos0123]],pointstable[],2,FALSE)</f>
        <v>3</v>
      </c>
      <c r="P93" s="5">
        <f>IFERROR(VLOOKUP(U14Mcombined[[#This Row],[Card]],results0120[],3,FALSE),999)</f>
        <v>35</v>
      </c>
      <c r="Q93" s="5">
        <f>VLOOKUP(U14Mcombined[[#This Row],[pos0120]],pointstable[],2,FALSE)</f>
        <v>25</v>
      </c>
      <c r="R93" s="5">
        <f>IFERROR(VLOOKUP(U14Mcombined[[#This Row],[Card]],results0124[],3,FALSE),999)</f>
        <v>56</v>
      </c>
      <c r="S93" s="5">
        <f>IFERROR(VLOOKUP(U14Mcombined[[#This Row],[Card]],results0140[],3,FALSE),999)</f>
        <v>999</v>
      </c>
      <c r="T93" s="5">
        <f>IFERROR(VLOOKUP(U14Mcombined[[#This Row],[Card]],results0125[],3,FALSE),999)</f>
        <v>61</v>
      </c>
      <c r="U93" s="5">
        <f>VLOOKUP(U14Mcombined[[#This Row],[pos0124]],pointstable[],2,FALSE)</f>
        <v>4</v>
      </c>
      <c r="V93" s="5">
        <f>VLOOKUP(U14Mcombined[[#This Row],[pos0140]],pointstable[],2,FALSE)</f>
        <v>0</v>
      </c>
      <c r="W93" s="5">
        <f>VLOOKUP(U14Mcombined[[#This Row],[pos0125]],pointstable[],2,FALSE)</f>
        <v>0</v>
      </c>
    </row>
    <row r="94" spans="1:23" x14ac:dyDescent="0.25">
      <c r="A94">
        <v>79148</v>
      </c>
      <c r="B94" t="s">
        <v>191</v>
      </c>
      <c r="C94" t="s">
        <v>31</v>
      </c>
      <c r="D94">
        <v>4</v>
      </c>
      <c r="E94" s="5">
        <f>SUM(LARGE(U94:W94,{1,2}))</f>
        <v>3</v>
      </c>
      <c r="F94" s="5">
        <f>MAX(U14Mcombined[[#This Row],[pts0119]],U14Mcombined[[#This Row],[pts0118]],U14Mcombined[[#This Row],[pts0120]])</f>
        <v>20</v>
      </c>
      <c r="G94" s="5">
        <f>MAX(U14Mcombined[[#This Row],[pts0117]],U14Mcombined[[#This Row],[pts0123]])</f>
        <v>8</v>
      </c>
      <c r="H94" s="5">
        <f>IFERROR(VLOOKUP(U14Mcombined[[#This Row],[Card]],results0117[],3,FALSE),999)</f>
        <v>52</v>
      </c>
      <c r="I94" s="5">
        <f>VLOOKUP(U14Mcombined[[#This Row],[pos0117]],pointstable[],2,FALSE)</f>
        <v>8</v>
      </c>
      <c r="J94" s="5">
        <f>IFERROR(VLOOKUP(U14Mcombined[[#This Row],[Card]],results0119[],3,FALSE),999)</f>
        <v>40</v>
      </c>
      <c r="K94" s="5">
        <f>VLOOKUP(U14Mcombined[[#This Row],[pos0119]],pointstable[],2,FALSE)</f>
        <v>20</v>
      </c>
      <c r="L94" s="5">
        <f>IFERROR(VLOOKUP(U14Mcombined[[#This Row],[Card]],results0118[],3,FALSE),999)</f>
        <v>71</v>
      </c>
      <c r="M94" s="5">
        <f>VLOOKUP(U14Mcombined[[#This Row],[pos0118]],pointstable[],2,FALSE)</f>
        <v>0</v>
      </c>
      <c r="N94" s="5">
        <f>IFERROR(VLOOKUP(U14Mcombined[[#This Row],[Card]],results0123[],3,FALSE),999)</f>
        <v>62</v>
      </c>
      <c r="O94" s="5">
        <f>VLOOKUP(U14Mcombined[[#This Row],[pos0123]],pointstable[],2,FALSE)</f>
        <v>0</v>
      </c>
      <c r="P94" s="5">
        <f>IFERROR(VLOOKUP(U14Mcombined[[#This Row],[Card]],results0120[],3,FALSE),999)</f>
        <v>43</v>
      </c>
      <c r="Q94" s="5">
        <f>VLOOKUP(U14Mcombined[[#This Row],[pos0120]],pointstable[],2,FALSE)</f>
        <v>17</v>
      </c>
      <c r="R94" s="5">
        <f>IFERROR(VLOOKUP(U14Mcombined[[#This Row],[Card]],results0124[],3,FALSE),999)</f>
        <v>63</v>
      </c>
      <c r="S94" s="5">
        <f>IFERROR(VLOOKUP(U14Mcombined[[#This Row],[Card]],results0140[],3,FALSE),999)</f>
        <v>999</v>
      </c>
      <c r="T94" s="5">
        <f>IFERROR(VLOOKUP(U14Mcombined[[#This Row],[Card]],results0125[],3,FALSE),999)</f>
        <v>57</v>
      </c>
      <c r="U94" s="5">
        <f>VLOOKUP(U14Mcombined[[#This Row],[pos0124]],pointstable[],2,FALSE)</f>
        <v>0</v>
      </c>
      <c r="V94" s="5">
        <f>VLOOKUP(U14Mcombined[[#This Row],[pos0140]],pointstable[],2,FALSE)</f>
        <v>0</v>
      </c>
      <c r="W94" s="5">
        <f>VLOOKUP(U14Mcombined[[#This Row],[pos0125]],pointstable[],2,FALSE)</f>
        <v>3</v>
      </c>
    </row>
    <row r="95" spans="1:23" x14ac:dyDescent="0.25">
      <c r="A95">
        <v>88391</v>
      </c>
      <c r="B95" s="5" t="s">
        <v>284</v>
      </c>
      <c r="C95" s="5" t="s">
        <v>155</v>
      </c>
      <c r="D95">
        <v>5</v>
      </c>
      <c r="E95" s="5">
        <f>SUM(LARGE(U95:W95,{1,2}))</f>
        <v>2</v>
      </c>
      <c r="F95" s="5">
        <f>MAX(U14Mcombined[[#This Row],[pts0119]],U14Mcombined[[#This Row],[pts0118]],U14Mcombined[[#This Row],[pts0120]])</f>
        <v>0</v>
      </c>
      <c r="G95" s="5">
        <f>MAX(U14Mcombined[[#This Row],[pts0117]],U14Mcombined[[#This Row],[pts0123]])</f>
        <v>0</v>
      </c>
      <c r="H95" s="5">
        <f>IFERROR(VLOOKUP(U14Mcombined[[#This Row],[Card]],results0117[],3,FALSE),999)</f>
        <v>999</v>
      </c>
      <c r="I95" s="5">
        <f>VLOOKUP(U14Mcombined[[#This Row],[pos0117]],pointstable[],2,FALSE)</f>
        <v>0</v>
      </c>
      <c r="J95" s="5">
        <f>IFERROR(VLOOKUP(U14Mcombined[[#This Row],[Card]],results0119[],3,FALSE),999)</f>
        <v>999</v>
      </c>
      <c r="K95" s="5">
        <f>VLOOKUP(U14Mcombined[[#This Row],[pos0119]],pointstable[],2,FALSE)</f>
        <v>0</v>
      </c>
      <c r="L95" s="5">
        <f>IFERROR(VLOOKUP(U14Mcombined[[#This Row],[Card]],results0118[],3,FALSE),999)</f>
        <v>70</v>
      </c>
      <c r="M95" s="5">
        <f>VLOOKUP(U14Mcombined[[#This Row],[pos0118]],pointstable[],2,FALSE)</f>
        <v>0</v>
      </c>
      <c r="N95" s="5">
        <f>IFERROR(VLOOKUP(U14Mcombined[[#This Row],[Card]],results0123[],3,FALSE),999)</f>
        <v>83</v>
      </c>
      <c r="O95" s="5">
        <f>VLOOKUP(U14Mcombined[[#This Row],[pos0123]],pointstable[],2,FALSE)</f>
        <v>0</v>
      </c>
      <c r="P95" s="5">
        <f>IFERROR(VLOOKUP(U14Mcombined[[#This Row],[Card]],results0120[],3,FALSE),999)</f>
        <v>999</v>
      </c>
      <c r="Q95" s="5">
        <f>VLOOKUP(U14Mcombined[[#This Row],[pos0120]],pointstable[],2,FALSE)</f>
        <v>0</v>
      </c>
      <c r="R95" s="5">
        <f>IFERROR(VLOOKUP(U14Mcombined[[#This Row],[Card]],results0124[],3,FALSE),999)</f>
        <v>58</v>
      </c>
      <c r="S95" s="5">
        <f>IFERROR(VLOOKUP(U14Mcombined[[#This Row],[Card]],results0140[],3,FALSE),999)</f>
        <v>999</v>
      </c>
      <c r="T95" s="5">
        <f>IFERROR(VLOOKUP(U14Mcombined[[#This Row],[Card]],results0125[],3,FALSE),999)</f>
        <v>67</v>
      </c>
      <c r="U95" s="5">
        <f>VLOOKUP(U14Mcombined[[#This Row],[pos0124]],pointstable[],2,FALSE)</f>
        <v>2</v>
      </c>
      <c r="V95" s="5">
        <f>VLOOKUP(U14Mcombined[[#This Row],[pos0140]],pointstable[],2,FALSE)</f>
        <v>0</v>
      </c>
      <c r="W95" s="5">
        <f>VLOOKUP(U14Mcombined[[#This Row],[pos0125]],pointstable[],2,FALSE)</f>
        <v>0</v>
      </c>
    </row>
    <row r="96" spans="1:23" x14ac:dyDescent="0.25">
      <c r="A96">
        <v>89505</v>
      </c>
      <c r="B96" t="s">
        <v>387</v>
      </c>
      <c r="C96" t="s">
        <v>388</v>
      </c>
      <c r="D96" s="5">
        <v>5</v>
      </c>
      <c r="E96" s="5">
        <f>SUM(LARGE(U96:W96,{1,2}))</f>
        <v>1</v>
      </c>
      <c r="F96" s="5">
        <f>MAX(U14Mcombined[[#This Row],[pts0119]],U14Mcombined[[#This Row],[pts0118]],U14Mcombined[[#This Row],[pts0120]])</f>
        <v>14</v>
      </c>
      <c r="G96" s="5">
        <f>MAX(U14Mcombined[[#This Row],[pts0117]],U14Mcombined[[#This Row],[pts0123]])</f>
        <v>0</v>
      </c>
      <c r="H96" s="5">
        <f>IFERROR(VLOOKUP(U14Mcombined[[#This Row],[Card]],results0117[],3,FALSE),999)</f>
        <v>999</v>
      </c>
      <c r="I96" s="5">
        <f>VLOOKUP(U14Mcombined[[#This Row],[pos0117]],pointstable[],2,FALSE)</f>
        <v>0</v>
      </c>
      <c r="J96" s="5">
        <f>IFERROR(VLOOKUP(U14Mcombined[[#This Row],[Card]],results0119[],3,FALSE),999)</f>
        <v>999</v>
      </c>
      <c r="K96" s="5">
        <f>VLOOKUP(U14Mcombined[[#This Row],[pos0119]],pointstable[],2,FALSE)</f>
        <v>0</v>
      </c>
      <c r="L96" s="5">
        <f>IFERROR(VLOOKUP(U14Mcombined[[#This Row],[Card]],results0118[],3,FALSE),999)</f>
        <v>67</v>
      </c>
      <c r="M96" s="5">
        <f>VLOOKUP(U14Mcombined[[#This Row],[pos0118]],pointstable[],2,FALSE)</f>
        <v>0</v>
      </c>
      <c r="N96" s="5">
        <f>IFERROR(VLOOKUP(U14Mcombined[[#This Row],[Card]],results0123[],3,FALSE),999)</f>
        <v>999</v>
      </c>
      <c r="O96" s="5">
        <f>VLOOKUP(U14Mcombined[[#This Row],[pos0123]],pointstable[],2,FALSE)</f>
        <v>0</v>
      </c>
      <c r="P96" s="5">
        <f>IFERROR(VLOOKUP(U14Mcombined[[#This Row],[Card]],results0120[],3,FALSE),999)</f>
        <v>46</v>
      </c>
      <c r="Q96" s="5">
        <f>VLOOKUP(U14Mcombined[[#This Row],[pos0120]],pointstable[],2,FALSE)</f>
        <v>14</v>
      </c>
      <c r="R96" s="5">
        <f>IFERROR(VLOOKUP(U14Mcombined[[#This Row],[Card]],results0124[],3,FALSE),999)</f>
        <v>999</v>
      </c>
      <c r="S96" s="5">
        <f>IFERROR(VLOOKUP(U14Mcombined[[#This Row],[Card]],results0140[],3,FALSE),999)</f>
        <v>999</v>
      </c>
      <c r="T96" s="5">
        <f>IFERROR(VLOOKUP(U14Mcombined[[#This Row],[Card]],results0125[],3,FALSE),999)</f>
        <v>59</v>
      </c>
      <c r="U96" s="5">
        <f>VLOOKUP(U14Mcombined[[#This Row],[pos0124]],pointstable[],2,FALSE)</f>
        <v>0</v>
      </c>
      <c r="V96" s="5">
        <f>VLOOKUP(U14Mcombined[[#This Row],[pos0140]],pointstable[],2,FALSE)</f>
        <v>0</v>
      </c>
      <c r="W96" s="5">
        <f>VLOOKUP(U14Mcombined[[#This Row],[pos0125]],pointstable[],2,FALSE)</f>
        <v>1</v>
      </c>
    </row>
    <row r="97" spans="1:23" x14ac:dyDescent="0.25">
      <c r="A97">
        <v>85566</v>
      </c>
      <c r="B97" t="s">
        <v>150</v>
      </c>
      <c r="C97" t="s">
        <v>117</v>
      </c>
      <c r="D97">
        <v>5</v>
      </c>
      <c r="E97" s="5">
        <f>SUM(LARGE(U97:W97,{1,2}))</f>
        <v>0</v>
      </c>
      <c r="F97" s="5">
        <f>MAX(U14Mcombined[[#This Row],[pts0119]],U14Mcombined[[#This Row],[pts0118]],U14Mcombined[[#This Row],[pts0120]])</f>
        <v>0</v>
      </c>
      <c r="G97" s="5">
        <f>MAX(U14Mcombined[[#This Row],[pts0117]],U14Mcombined[[#This Row],[pts0123]])</f>
        <v>0</v>
      </c>
      <c r="H97" s="5">
        <f>IFERROR(VLOOKUP(U14Mcombined[[#This Row],[Card]],results0117[],3,FALSE),999)</f>
        <v>62</v>
      </c>
      <c r="I97" s="5">
        <f>VLOOKUP(U14Mcombined[[#This Row],[pos0117]],pointstable[],2,FALSE)</f>
        <v>0</v>
      </c>
      <c r="J97" s="5">
        <f>IFERROR(VLOOKUP(U14Mcombined[[#This Row],[Card]],results0119[],3,FALSE),999)</f>
        <v>999</v>
      </c>
      <c r="K97" s="5">
        <f>VLOOKUP(U14Mcombined[[#This Row],[pos0119]],pointstable[],2,FALSE)</f>
        <v>0</v>
      </c>
      <c r="L97" s="5">
        <f>IFERROR(VLOOKUP(U14Mcombined[[#This Row],[Card]],results0118[],3,FALSE),999)</f>
        <v>63</v>
      </c>
      <c r="M97" s="5">
        <f>VLOOKUP(U14Mcombined[[#This Row],[pos0118]],pointstable[],2,FALSE)</f>
        <v>0</v>
      </c>
      <c r="N97" s="5">
        <f>IFERROR(VLOOKUP(U14Mcombined[[#This Row],[Card]],results0123[],3,FALSE),999)</f>
        <v>68</v>
      </c>
      <c r="O97" s="5">
        <f>VLOOKUP(U14Mcombined[[#This Row],[pos0123]],pointstable[],2,FALSE)</f>
        <v>0</v>
      </c>
      <c r="P97" s="5">
        <f>IFERROR(VLOOKUP(U14Mcombined[[#This Row],[Card]],results0120[],3,FALSE),999)</f>
        <v>999</v>
      </c>
      <c r="Q97" s="5">
        <f>VLOOKUP(U14Mcombined[[#This Row],[pos0120]],pointstable[],2,FALSE)</f>
        <v>0</v>
      </c>
      <c r="R97" s="5">
        <f>IFERROR(VLOOKUP(U14Mcombined[[#This Row],[Card]],results0124[],3,FALSE),999)</f>
        <v>999</v>
      </c>
      <c r="S97" s="5">
        <f>IFERROR(VLOOKUP(U14Mcombined[[#This Row],[Card]],results0140[],3,FALSE),999)</f>
        <v>999</v>
      </c>
      <c r="T97" s="5">
        <f>IFERROR(VLOOKUP(U14Mcombined[[#This Row],[Card]],results0125[],3,FALSE),999)</f>
        <v>73</v>
      </c>
      <c r="U97" s="5">
        <f>VLOOKUP(U14Mcombined[[#This Row],[pos0124]],pointstable[],2,FALSE)</f>
        <v>0</v>
      </c>
      <c r="V97" s="5">
        <f>VLOOKUP(U14Mcombined[[#This Row],[pos0140]],pointstable[],2,FALSE)</f>
        <v>0</v>
      </c>
      <c r="W97" s="5">
        <f>VLOOKUP(U14Mcombined[[#This Row],[pos0125]],pointstable[],2,FALSE)</f>
        <v>0</v>
      </c>
    </row>
    <row r="98" spans="1:23" x14ac:dyDescent="0.25">
      <c r="A98">
        <v>80662</v>
      </c>
      <c r="B98" t="s">
        <v>158</v>
      </c>
      <c r="C98" t="s">
        <v>61</v>
      </c>
      <c r="D98">
        <v>4</v>
      </c>
      <c r="E98" s="5">
        <f>SUM(LARGE(U98:W98,{1,2}))</f>
        <v>0</v>
      </c>
      <c r="F98" s="5">
        <f>MAX(U14Mcombined[[#This Row],[pts0119]],U14Mcombined[[#This Row],[pts0118]],U14Mcombined[[#This Row],[pts0120]])</f>
        <v>22</v>
      </c>
      <c r="G98" s="5">
        <f>MAX(U14Mcombined[[#This Row],[pts0117]],U14Mcombined[[#This Row],[pts0123]])</f>
        <v>0</v>
      </c>
      <c r="H98" s="5">
        <f>IFERROR(VLOOKUP(U14Mcombined[[#This Row],[Card]],results0117[],3,FALSE),999)</f>
        <v>73</v>
      </c>
      <c r="I98" s="5">
        <f>VLOOKUP(U14Mcombined[[#This Row],[pos0117]],pointstable[],2,FALSE)</f>
        <v>0</v>
      </c>
      <c r="J98" s="5">
        <f>IFERROR(VLOOKUP(U14Mcombined[[#This Row],[Card]],results0119[],3,FALSE),999)</f>
        <v>38</v>
      </c>
      <c r="K98" s="5">
        <f>VLOOKUP(U14Mcombined[[#This Row],[pos0119]],pointstable[],2,FALSE)</f>
        <v>22</v>
      </c>
      <c r="L98" s="5">
        <f>IFERROR(VLOOKUP(U14Mcombined[[#This Row],[Card]],results0118[],3,FALSE),999)</f>
        <v>999</v>
      </c>
      <c r="M98" s="5">
        <f>VLOOKUP(U14Mcombined[[#This Row],[pos0118]],pointstable[],2,FALSE)</f>
        <v>0</v>
      </c>
      <c r="N98" s="5">
        <f>IFERROR(VLOOKUP(U14Mcombined[[#This Row],[Card]],results0123[],3,FALSE),999)</f>
        <v>999</v>
      </c>
      <c r="O98" s="5">
        <f>VLOOKUP(U14Mcombined[[#This Row],[pos0123]],pointstable[],2,FALSE)</f>
        <v>0</v>
      </c>
      <c r="P98" s="5">
        <f>IFERROR(VLOOKUP(U14Mcombined[[#This Row],[Card]],results0120[],3,FALSE),999)</f>
        <v>999</v>
      </c>
      <c r="Q98" s="5">
        <f>VLOOKUP(U14Mcombined[[#This Row],[pos0120]],pointstable[],2,FALSE)</f>
        <v>0</v>
      </c>
      <c r="R98" s="5">
        <f>IFERROR(VLOOKUP(U14Mcombined[[#This Row],[Card]],results0124[],3,FALSE),999)</f>
        <v>70</v>
      </c>
      <c r="S98" s="5">
        <f>IFERROR(VLOOKUP(U14Mcombined[[#This Row],[Card]],results0140[],3,FALSE),999)</f>
        <v>999</v>
      </c>
      <c r="T98" s="5">
        <f>IFERROR(VLOOKUP(U14Mcombined[[#This Row],[Card]],results0125[],3,FALSE),999)</f>
        <v>94</v>
      </c>
      <c r="U98" s="5">
        <f>VLOOKUP(U14Mcombined[[#This Row],[pos0124]],pointstable[],2,FALSE)</f>
        <v>0</v>
      </c>
      <c r="V98" s="5">
        <f>VLOOKUP(U14Mcombined[[#This Row],[pos0140]],pointstable[],2,FALSE)</f>
        <v>0</v>
      </c>
      <c r="W98" s="5">
        <f>VLOOKUP(U14Mcombined[[#This Row],[pos0125]],pointstable[],2,FALSE)</f>
        <v>0</v>
      </c>
    </row>
    <row r="99" spans="1:23" x14ac:dyDescent="0.25">
      <c r="A99">
        <v>81740</v>
      </c>
      <c r="B99" t="s">
        <v>160</v>
      </c>
      <c r="C99" t="s">
        <v>31</v>
      </c>
      <c r="D99">
        <v>4</v>
      </c>
      <c r="E99" s="5">
        <f>SUM(LARGE(U99:W99,{1,2}))</f>
        <v>0</v>
      </c>
      <c r="F99" s="5">
        <f>MAX(U14Mcombined[[#This Row],[pts0119]],U14Mcombined[[#This Row],[pts0118]],U14Mcombined[[#This Row],[pts0120]])</f>
        <v>0</v>
      </c>
      <c r="G99" s="5">
        <f>MAX(U14Mcombined[[#This Row],[pts0117]],U14Mcombined[[#This Row],[pts0123]])</f>
        <v>0</v>
      </c>
      <c r="H99" s="5">
        <f>IFERROR(VLOOKUP(U14Mcombined[[#This Row],[Card]],results0117[],3,FALSE),999)</f>
        <v>999</v>
      </c>
      <c r="I99" s="5">
        <f>VLOOKUP(U14Mcombined[[#This Row],[pos0117]],pointstable[],2,FALSE)</f>
        <v>0</v>
      </c>
      <c r="J99" s="5">
        <f>IFERROR(VLOOKUP(U14Mcombined[[#This Row],[Card]],results0119[],3,FALSE),999)</f>
        <v>999</v>
      </c>
      <c r="K99" s="5">
        <f>VLOOKUP(U14Mcombined[[#This Row],[pos0119]],pointstable[],2,FALSE)</f>
        <v>0</v>
      </c>
      <c r="L99" s="5">
        <f>IFERROR(VLOOKUP(U14Mcombined[[#This Row],[Card]],results0118[],3,FALSE),999)</f>
        <v>999</v>
      </c>
      <c r="M99" s="5">
        <f>VLOOKUP(U14Mcombined[[#This Row],[pos0118]],pointstable[],2,FALSE)</f>
        <v>0</v>
      </c>
      <c r="N99" s="5">
        <f>IFERROR(VLOOKUP(U14Mcombined[[#This Row],[Card]],results0123[],3,FALSE),999)</f>
        <v>999</v>
      </c>
      <c r="O99" s="5">
        <f>VLOOKUP(U14Mcombined[[#This Row],[pos0123]],pointstable[],2,FALSE)</f>
        <v>0</v>
      </c>
      <c r="P99" s="5">
        <f>IFERROR(VLOOKUP(U14Mcombined[[#This Row],[Card]],results0120[],3,FALSE),999)</f>
        <v>999</v>
      </c>
      <c r="Q99" s="5">
        <f>VLOOKUP(U14Mcombined[[#This Row],[pos0120]],pointstable[],2,FALSE)</f>
        <v>0</v>
      </c>
      <c r="R99" s="5">
        <f>IFERROR(VLOOKUP(U14Mcombined[[#This Row],[Card]],results0124[],3,FALSE),999)</f>
        <v>999</v>
      </c>
      <c r="S99" s="5">
        <f>IFERROR(VLOOKUP(U14Mcombined[[#This Row],[Card]],results0140[],3,FALSE),999)</f>
        <v>999</v>
      </c>
      <c r="T99" s="5">
        <f>IFERROR(VLOOKUP(U14Mcombined[[#This Row],[Card]],results0125[],3,FALSE),999)</f>
        <v>999</v>
      </c>
      <c r="U99" s="5">
        <f>VLOOKUP(U14Mcombined[[#This Row],[pos0124]],pointstable[],2,FALSE)</f>
        <v>0</v>
      </c>
      <c r="V99" s="5">
        <f>VLOOKUP(U14Mcombined[[#This Row],[pos0140]],pointstable[],2,FALSE)</f>
        <v>0</v>
      </c>
      <c r="W99" s="5">
        <f>VLOOKUP(U14Mcombined[[#This Row],[pos0125]],pointstable[],2,FALSE)</f>
        <v>0</v>
      </c>
    </row>
    <row r="100" spans="1:23" x14ac:dyDescent="0.25">
      <c r="A100">
        <v>87999</v>
      </c>
      <c r="B100" t="s">
        <v>179</v>
      </c>
      <c r="C100" t="s">
        <v>19</v>
      </c>
      <c r="D100">
        <v>5</v>
      </c>
      <c r="E100" s="5">
        <f>SUM(LARGE(U100:W100,{1,2}))</f>
        <v>0</v>
      </c>
      <c r="F100" s="5">
        <f>MAX(U14Mcombined[[#This Row],[pts0119]],U14Mcombined[[#This Row],[pts0118]],U14Mcombined[[#This Row],[pts0120]])</f>
        <v>11</v>
      </c>
      <c r="G100" s="5">
        <f>MAX(U14Mcombined[[#This Row],[pts0117]],U14Mcombined[[#This Row],[pts0123]])</f>
        <v>0</v>
      </c>
      <c r="H100" s="5">
        <f>IFERROR(VLOOKUP(U14Mcombined[[#This Row],[Card]],results0117[],3,FALSE),999)</f>
        <v>999</v>
      </c>
      <c r="I100" s="5">
        <f>VLOOKUP(U14Mcombined[[#This Row],[pos0117]],pointstable[],2,FALSE)</f>
        <v>0</v>
      </c>
      <c r="J100" s="5">
        <f>IFERROR(VLOOKUP(U14Mcombined[[#This Row],[Card]],results0119[],3,FALSE),999)</f>
        <v>50</v>
      </c>
      <c r="K100" s="5">
        <f>VLOOKUP(U14Mcombined[[#This Row],[pos0119]],pointstable[],2,FALSE)</f>
        <v>10</v>
      </c>
      <c r="L100" s="5">
        <f>IFERROR(VLOOKUP(U14Mcombined[[#This Row],[Card]],results0118[],3,FALSE),999)</f>
        <v>72</v>
      </c>
      <c r="M100" s="5">
        <f>VLOOKUP(U14Mcombined[[#This Row],[pos0118]],pointstable[],2,FALSE)</f>
        <v>0</v>
      </c>
      <c r="N100" s="5">
        <f>IFERROR(VLOOKUP(U14Mcombined[[#This Row],[Card]],results0123[],3,FALSE),999)</f>
        <v>61</v>
      </c>
      <c r="O100" s="5">
        <f>VLOOKUP(U14Mcombined[[#This Row],[pos0123]],pointstable[],2,FALSE)</f>
        <v>0</v>
      </c>
      <c r="P100" s="5">
        <f>IFERROR(VLOOKUP(U14Mcombined[[#This Row],[Card]],results0120[],3,FALSE),999)</f>
        <v>49</v>
      </c>
      <c r="Q100" s="5">
        <f>VLOOKUP(U14Mcombined[[#This Row],[pos0120]],pointstable[],2,FALSE)</f>
        <v>11</v>
      </c>
      <c r="R100" s="5">
        <f>IFERROR(VLOOKUP(U14Mcombined[[#This Row],[Card]],results0124[],3,FALSE),999)</f>
        <v>999</v>
      </c>
      <c r="S100" s="5">
        <f>IFERROR(VLOOKUP(U14Mcombined[[#This Row],[Card]],results0140[],3,FALSE),999)</f>
        <v>999</v>
      </c>
      <c r="T100" s="5">
        <f>IFERROR(VLOOKUP(U14Mcombined[[#This Row],[Card]],results0125[],3,FALSE),999)</f>
        <v>68</v>
      </c>
      <c r="U100" s="5">
        <f>VLOOKUP(U14Mcombined[[#This Row],[pos0124]],pointstable[],2,FALSE)</f>
        <v>0</v>
      </c>
      <c r="V100" s="5">
        <f>VLOOKUP(U14Mcombined[[#This Row],[pos0140]],pointstable[],2,FALSE)</f>
        <v>0</v>
      </c>
      <c r="W100" s="5">
        <f>VLOOKUP(U14Mcombined[[#This Row],[pos0125]],pointstable[],2,FALSE)</f>
        <v>0</v>
      </c>
    </row>
    <row r="101" spans="1:23" x14ac:dyDescent="0.25">
      <c r="A101">
        <v>88381</v>
      </c>
      <c r="B101" t="s">
        <v>181</v>
      </c>
      <c r="C101" t="s">
        <v>47</v>
      </c>
      <c r="D101">
        <v>5</v>
      </c>
      <c r="E101" s="5">
        <f>SUM(LARGE(U101:W101,{1,2}))</f>
        <v>0</v>
      </c>
      <c r="F101" s="5">
        <f>MAX(U14Mcombined[[#This Row],[pts0119]],U14Mcombined[[#This Row],[pts0118]],U14Mcombined[[#This Row],[pts0120]])</f>
        <v>4</v>
      </c>
      <c r="G101" s="5">
        <f>MAX(U14Mcombined[[#This Row],[pts0117]],U14Mcombined[[#This Row],[pts0123]])</f>
        <v>0</v>
      </c>
      <c r="H101" s="5">
        <f>IFERROR(VLOOKUP(U14Mcombined[[#This Row],[Card]],results0117[],3,FALSE),999)</f>
        <v>999</v>
      </c>
      <c r="I101" s="5">
        <f>VLOOKUP(U14Mcombined[[#This Row],[pos0117]],pointstable[],2,FALSE)</f>
        <v>0</v>
      </c>
      <c r="J101" s="5">
        <f>IFERROR(VLOOKUP(U14Mcombined[[#This Row],[Card]],results0119[],3,FALSE),999)</f>
        <v>56</v>
      </c>
      <c r="K101" s="5">
        <f>VLOOKUP(U14Mcombined[[#This Row],[pos0119]],pointstable[],2,FALSE)</f>
        <v>4</v>
      </c>
      <c r="L101" s="5">
        <f>IFERROR(VLOOKUP(U14Mcombined[[#This Row],[Card]],results0118[],3,FALSE),999)</f>
        <v>79</v>
      </c>
      <c r="M101" s="5">
        <f>VLOOKUP(U14Mcombined[[#This Row],[pos0118]],pointstable[],2,FALSE)</f>
        <v>0</v>
      </c>
      <c r="N101" s="5">
        <f>IFERROR(VLOOKUP(U14Mcombined[[#This Row],[Card]],results0123[],3,FALSE),999)</f>
        <v>73</v>
      </c>
      <c r="O101" s="5">
        <f>VLOOKUP(U14Mcombined[[#This Row],[pos0123]],pointstable[],2,FALSE)</f>
        <v>0</v>
      </c>
      <c r="P101" s="5">
        <f>IFERROR(VLOOKUP(U14Mcombined[[#This Row],[Card]],results0120[],3,FALSE),999)</f>
        <v>57</v>
      </c>
      <c r="Q101" s="5">
        <f>VLOOKUP(U14Mcombined[[#This Row],[pos0120]],pointstable[],2,FALSE)</f>
        <v>3</v>
      </c>
      <c r="R101" s="5">
        <f>IFERROR(VLOOKUP(U14Mcombined[[#This Row],[Card]],results0124[],3,FALSE),999)</f>
        <v>77</v>
      </c>
      <c r="S101" s="5">
        <f>IFERROR(VLOOKUP(U14Mcombined[[#This Row],[Card]],results0140[],3,FALSE),999)</f>
        <v>999</v>
      </c>
      <c r="T101" s="5">
        <f>IFERROR(VLOOKUP(U14Mcombined[[#This Row],[Card]],results0125[],3,FALSE),999)</f>
        <v>84</v>
      </c>
      <c r="U101" s="5">
        <f>VLOOKUP(U14Mcombined[[#This Row],[pos0124]],pointstable[],2,FALSE)</f>
        <v>0</v>
      </c>
      <c r="V101" s="5">
        <f>VLOOKUP(U14Mcombined[[#This Row],[pos0140]],pointstable[],2,FALSE)</f>
        <v>0</v>
      </c>
      <c r="W101" s="5">
        <f>VLOOKUP(U14Mcombined[[#This Row],[pos0125]],pointstable[],2,FALSE)</f>
        <v>0</v>
      </c>
    </row>
    <row r="102" spans="1:23" x14ac:dyDescent="0.25">
      <c r="A102">
        <v>81736</v>
      </c>
      <c r="B102" t="s">
        <v>184</v>
      </c>
      <c r="C102" t="s">
        <v>31</v>
      </c>
      <c r="D102">
        <v>4</v>
      </c>
      <c r="E102" s="5">
        <f>SUM(LARGE(U102:W102,{1,2}))</f>
        <v>0</v>
      </c>
      <c r="F102" s="5">
        <f>MAX(U14Mcombined[[#This Row],[pts0119]],U14Mcombined[[#This Row],[pts0118]],U14Mcombined[[#This Row],[pts0120]])</f>
        <v>0</v>
      </c>
      <c r="G102" s="5">
        <f>MAX(U14Mcombined[[#This Row],[pts0117]],U14Mcombined[[#This Row],[pts0123]])</f>
        <v>24</v>
      </c>
      <c r="H102" s="5">
        <f>IFERROR(VLOOKUP(U14Mcombined[[#This Row],[Card]],results0117[],3,FALSE),999)</f>
        <v>36</v>
      </c>
      <c r="I102" s="5">
        <f>VLOOKUP(U14Mcombined[[#This Row],[pos0117]],pointstable[],2,FALSE)</f>
        <v>24</v>
      </c>
      <c r="J102" s="5">
        <f>IFERROR(VLOOKUP(U14Mcombined[[#This Row],[Card]],results0119[],3,FALSE),999)</f>
        <v>999</v>
      </c>
      <c r="K102" s="5">
        <f>VLOOKUP(U14Mcombined[[#This Row],[pos0119]],pointstable[],2,FALSE)</f>
        <v>0</v>
      </c>
      <c r="L102" s="5">
        <f>IFERROR(VLOOKUP(U14Mcombined[[#This Row],[Card]],results0118[],3,FALSE),999)</f>
        <v>74</v>
      </c>
      <c r="M102" s="5">
        <f>VLOOKUP(U14Mcombined[[#This Row],[pos0118]],pointstable[],2,FALSE)</f>
        <v>0</v>
      </c>
      <c r="N102" s="5">
        <f>IFERROR(VLOOKUP(U14Mcombined[[#This Row],[Card]],results0123[],3,FALSE),999)</f>
        <v>47</v>
      </c>
      <c r="O102" s="5">
        <f>VLOOKUP(U14Mcombined[[#This Row],[pos0123]],pointstable[],2,FALSE)</f>
        <v>13</v>
      </c>
      <c r="P102" s="5">
        <f>IFERROR(VLOOKUP(U14Mcombined[[#This Row],[Card]],results0120[],3,FALSE),999)</f>
        <v>999</v>
      </c>
      <c r="Q102" s="5">
        <f>VLOOKUP(U14Mcombined[[#This Row],[pos0120]],pointstable[],2,FALSE)</f>
        <v>0</v>
      </c>
      <c r="R102" s="5">
        <f>IFERROR(VLOOKUP(U14Mcombined[[#This Row],[Card]],results0124[],3,FALSE),999)</f>
        <v>999</v>
      </c>
      <c r="S102" s="5">
        <f>IFERROR(VLOOKUP(U14Mcombined[[#This Row],[Card]],results0140[],3,FALSE),999)</f>
        <v>999</v>
      </c>
      <c r="T102" s="5">
        <f>IFERROR(VLOOKUP(U14Mcombined[[#This Row],[Card]],results0125[],3,FALSE),999)</f>
        <v>72</v>
      </c>
      <c r="U102" s="5">
        <f>VLOOKUP(U14Mcombined[[#This Row],[pos0124]],pointstable[],2,FALSE)</f>
        <v>0</v>
      </c>
      <c r="V102" s="5">
        <f>VLOOKUP(U14Mcombined[[#This Row],[pos0140]],pointstable[],2,FALSE)</f>
        <v>0</v>
      </c>
      <c r="W102" s="5">
        <f>VLOOKUP(U14Mcombined[[#This Row],[pos0125]],pointstable[],2,FALSE)</f>
        <v>0</v>
      </c>
    </row>
    <row r="103" spans="1:23" x14ac:dyDescent="0.25">
      <c r="A103">
        <v>82224</v>
      </c>
      <c r="B103" t="s">
        <v>190</v>
      </c>
      <c r="C103" t="s">
        <v>101</v>
      </c>
      <c r="D103">
        <v>4</v>
      </c>
      <c r="E103" s="5">
        <f>SUM(LARGE(U103:W103,{1,2}))</f>
        <v>0</v>
      </c>
      <c r="F103" s="5">
        <f>MAX(U14Mcombined[[#This Row],[pts0119]],U14Mcombined[[#This Row],[pts0118]],U14Mcombined[[#This Row],[pts0120]])</f>
        <v>0</v>
      </c>
      <c r="G103" s="5">
        <f>MAX(U14Mcombined[[#This Row],[pts0117]],U14Mcombined[[#This Row],[pts0123]])</f>
        <v>0</v>
      </c>
      <c r="H103" s="5">
        <f>IFERROR(VLOOKUP(U14Mcombined[[#This Row],[Card]],results0117[],3,FALSE),999)</f>
        <v>999</v>
      </c>
      <c r="I103" s="5">
        <f>VLOOKUP(U14Mcombined[[#This Row],[pos0117]],pointstable[],2,FALSE)</f>
        <v>0</v>
      </c>
      <c r="J103" s="5">
        <f>IFERROR(VLOOKUP(U14Mcombined[[#This Row],[Card]],results0119[],3,FALSE),999)</f>
        <v>999</v>
      </c>
      <c r="K103" s="5">
        <f>VLOOKUP(U14Mcombined[[#This Row],[pos0119]],pointstable[],2,FALSE)</f>
        <v>0</v>
      </c>
      <c r="L103" s="5">
        <f>IFERROR(VLOOKUP(U14Mcombined[[#This Row],[Card]],results0118[],3,FALSE),999)</f>
        <v>999</v>
      </c>
      <c r="M103" s="5">
        <f>VLOOKUP(U14Mcombined[[#This Row],[pos0118]],pointstable[],2,FALSE)</f>
        <v>0</v>
      </c>
      <c r="N103" s="5">
        <f>IFERROR(VLOOKUP(U14Mcombined[[#This Row],[Card]],results0123[],3,FALSE),999)</f>
        <v>999</v>
      </c>
      <c r="O103" s="5">
        <f>VLOOKUP(U14Mcombined[[#This Row],[pos0123]],pointstable[],2,FALSE)</f>
        <v>0</v>
      </c>
      <c r="P103" s="5">
        <f>IFERROR(VLOOKUP(U14Mcombined[[#This Row],[Card]],results0120[],3,FALSE),999)</f>
        <v>999</v>
      </c>
      <c r="Q103" s="5">
        <f>VLOOKUP(U14Mcombined[[#This Row],[pos0120]],pointstable[],2,FALSE)</f>
        <v>0</v>
      </c>
      <c r="R103" s="5">
        <f>IFERROR(VLOOKUP(U14Mcombined[[#This Row],[Card]],results0124[],3,FALSE),999)</f>
        <v>999</v>
      </c>
      <c r="S103" s="5">
        <f>IFERROR(VLOOKUP(U14Mcombined[[#This Row],[Card]],results0140[],3,FALSE),999)</f>
        <v>999</v>
      </c>
      <c r="T103" s="5">
        <f>IFERROR(VLOOKUP(U14Mcombined[[#This Row],[Card]],results0125[],3,FALSE),999)</f>
        <v>999</v>
      </c>
      <c r="U103" s="5">
        <f>VLOOKUP(U14Mcombined[[#This Row],[pos0124]],pointstable[],2,FALSE)</f>
        <v>0</v>
      </c>
      <c r="V103" s="5">
        <f>VLOOKUP(U14Mcombined[[#This Row],[pos0140]],pointstable[],2,FALSE)</f>
        <v>0</v>
      </c>
      <c r="W103" s="5">
        <f>VLOOKUP(U14Mcombined[[#This Row],[pos0125]],pointstable[],2,FALSE)</f>
        <v>0</v>
      </c>
    </row>
    <row r="104" spans="1:23" x14ac:dyDescent="0.25">
      <c r="A104">
        <v>78783</v>
      </c>
      <c r="B104" t="s">
        <v>198</v>
      </c>
      <c r="C104" t="s">
        <v>47</v>
      </c>
      <c r="D104">
        <v>5</v>
      </c>
      <c r="E104" s="5">
        <f>SUM(LARGE(U104:W104,{1,2}))</f>
        <v>0</v>
      </c>
      <c r="F104" s="5">
        <f>MAX(U14Mcombined[[#This Row],[pts0119]],U14Mcombined[[#This Row],[pts0118]],U14Mcombined[[#This Row],[pts0120]])</f>
        <v>4</v>
      </c>
      <c r="G104" s="5">
        <f>MAX(U14Mcombined[[#This Row],[pts0117]],U14Mcombined[[#This Row],[pts0123]])</f>
        <v>1</v>
      </c>
      <c r="H104" s="5">
        <f>IFERROR(VLOOKUP(U14Mcombined[[#This Row],[Card]],results0117[],3,FALSE),999)</f>
        <v>60</v>
      </c>
      <c r="I104" s="5">
        <f>VLOOKUP(U14Mcombined[[#This Row],[pos0117]],pointstable[],2,FALSE)</f>
        <v>1</v>
      </c>
      <c r="J104" s="5">
        <f>IFERROR(VLOOKUP(U14Mcombined[[#This Row],[Card]],results0119[],3,FALSE),999)</f>
        <v>999</v>
      </c>
      <c r="K104" s="5">
        <f>VLOOKUP(U14Mcombined[[#This Row],[pos0119]],pointstable[],2,FALSE)</f>
        <v>0</v>
      </c>
      <c r="L104" s="5">
        <f>IFERROR(VLOOKUP(U14Mcombined[[#This Row],[Card]],results0118[],3,FALSE),999)</f>
        <v>73</v>
      </c>
      <c r="M104" s="5">
        <f>VLOOKUP(U14Mcombined[[#This Row],[pos0118]],pointstable[],2,FALSE)</f>
        <v>0</v>
      </c>
      <c r="N104" s="5">
        <f>IFERROR(VLOOKUP(U14Mcombined[[#This Row],[Card]],results0123[],3,FALSE),999)</f>
        <v>999</v>
      </c>
      <c r="O104" s="5">
        <f>VLOOKUP(U14Mcombined[[#This Row],[pos0123]],pointstable[],2,FALSE)</f>
        <v>0</v>
      </c>
      <c r="P104" s="5">
        <f>IFERROR(VLOOKUP(U14Mcombined[[#This Row],[Card]],results0120[],3,FALSE),999)</f>
        <v>56</v>
      </c>
      <c r="Q104" s="5">
        <f>VLOOKUP(U14Mcombined[[#This Row],[pos0120]],pointstable[],2,FALSE)</f>
        <v>4</v>
      </c>
      <c r="R104" s="5">
        <f>IFERROR(VLOOKUP(U14Mcombined[[#This Row],[Card]],results0124[],3,FALSE),999)</f>
        <v>65</v>
      </c>
      <c r="S104" s="5">
        <f>IFERROR(VLOOKUP(U14Mcombined[[#This Row],[Card]],results0140[],3,FALSE),999)</f>
        <v>999</v>
      </c>
      <c r="T104" s="5">
        <f>IFERROR(VLOOKUP(U14Mcombined[[#This Row],[Card]],results0125[],3,FALSE),999)</f>
        <v>65</v>
      </c>
      <c r="U104" s="5">
        <f>VLOOKUP(U14Mcombined[[#This Row],[pos0124]],pointstable[],2,FALSE)</f>
        <v>0</v>
      </c>
      <c r="V104" s="5">
        <f>VLOOKUP(U14Mcombined[[#This Row],[pos0140]],pointstable[],2,FALSE)</f>
        <v>0</v>
      </c>
      <c r="W104" s="5">
        <f>VLOOKUP(U14Mcombined[[#This Row],[pos0125]],pointstable[],2,FALSE)</f>
        <v>0</v>
      </c>
    </row>
    <row r="105" spans="1:23" x14ac:dyDescent="0.25">
      <c r="A105">
        <v>81781</v>
      </c>
      <c r="B105" t="s">
        <v>200</v>
      </c>
      <c r="C105" t="s">
        <v>38</v>
      </c>
      <c r="D105">
        <v>5</v>
      </c>
      <c r="E105" s="5">
        <f>SUM(LARGE(U105:W105,{1,2}))</f>
        <v>0</v>
      </c>
      <c r="F105" s="5">
        <f>MAX(U14Mcombined[[#This Row],[pts0119]],U14Mcombined[[#This Row],[pts0118]],U14Mcombined[[#This Row],[pts0120]])</f>
        <v>2</v>
      </c>
      <c r="G105" s="5">
        <f>MAX(U14Mcombined[[#This Row],[pts0117]],U14Mcombined[[#This Row],[pts0123]])</f>
        <v>0</v>
      </c>
      <c r="H105" s="5">
        <f>IFERROR(VLOOKUP(U14Mcombined[[#This Row],[Card]],results0117[],3,FALSE),999)</f>
        <v>999</v>
      </c>
      <c r="I105" s="5">
        <f>VLOOKUP(U14Mcombined[[#This Row],[pos0117]],pointstable[],2,FALSE)</f>
        <v>0</v>
      </c>
      <c r="J105" s="5">
        <f>IFERROR(VLOOKUP(U14Mcombined[[#This Row],[Card]],results0119[],3,FALSE),999)</f>
        <v>58</v>
      </c>
      <c r="K105" s="5">
        <f>VLOOKUP(U14Mcombined[[#This Row],[pos0119]],pointstable[],2,FALSE)</f>
        <v>2</v>
      </c>
      <c r="L105" s="5">
        <f>IFERROR(VLOOKUP(U14Mcombined[[#This Row],[Card]],results0118[],3,FALSE),999)</f>
        <v>76</v>
      </c>
      <c r="M105" s="5">
        <f>VLOOKUP(U14Mcombined[[#This Row],[pos0118]],pointstable[],2,FALSE)</f>
        <v>0</v>
      </c>
      <c r="N105" s="5">
        <f>IFERROR(VLOOKUP(U14Mcombined[[#This Row],[Card]],results0123[],3,FALSE),999)</f>
        <v>999</v>
      </c>
      <c r="O105" s="5">
        <f>VLOOKUP(U14Mcombined[[#This Row],[pos0123]],pointstable[],2,FALSE)</f>
        <v>0</v>
      </c>
      <c r="P105" s="5">
        <f>IFERROR(VLOOKUP(U14Mcombined[[#This Row],[Card]],results0120[],3,FALSE),999)</f>
        <v>999</v>
      </c>
      <c r="Q105" s="5">
        <f>VLOOKUP(U14Mcombined[[#This Row],[pos0120]],pointstable[],2,FALSE)</f>
        <v>0</v>
      </c>
      <c r="R105" s="5">
        <f>IFERROR(VLOOKUP(U14Mcombined[[#This Row],[Card]],results0124[],3,FALSE),999)</f>
        <v>999</v>
      </c>
      <c r="S105" s="5">
        <f>IFERROR(VLOOKUP(U14Mcombined[[#This Row],[Card]],results0140[],3,FALSE),999)</f>
        <v>999</v>
      </c>
      <c r="T105" s="5">
        <f>IFERROR(VLOOKUP(U14Mcombined[[#This Row],[Card]],results0125[],3,FALSE),999)</f>
        <v>85</v>
      </c>
      <c r="U105" s="5">
        <f>VLOOKUP(U14Mcombined[[#This Row],[pos0124]],pointstable[],2,FALSE)</f>
        <v>0</v>
      </c>
      <c r="V105" s="5">
        <f>VLOOKUP(U14Mcombined[[#This Row],[pos0140]],pointstable[],2,FALSE)</f>
        <v>0</v>
      </c>
      <c r="W105" s="5">
        <f>VLOOKUP(U14Mcombined[[#This Row],[pos0125]],pointstable[],2,FALSE)</f>
        <v>0</v>
      </c>
    </row>
    <row r="106" spans="1:23" x14ac:dyDescent="0.25">
      <c r="A106">
        <v>78414</v>
      </c>
      <c r="B106" t="s">
        <v>202</v>
      </c>
      <c r="C106" t="s">
        <v>155</v>
      </c>
      <c r="D106">
        <v>4</v>
      </c>
      <c r="E106" s="5">
        <f>SUM(LARGE(U106:W106,{1,2}))</f>
        <v>0</v>
      </c>
      <c r="F106" s="5">
        <f>MAX(U14Mcombined[[#This Row],[pts0119]],U14Mcombined[[#This Row],[pts0118]],U14Mcombined[[#This Row],[pts0120]])</f>
        <v>1</v>
      </c>
      <c r="G106" s="5">
        <f>MAX(U14Mcombined[[#This Row],[pts0117]],U14Mcombined[[#This Row],[pts0123]])</f>
        <v>0</v>
      </c>
      <c r="H106" s="5">
        <f>IFERROR(VLOOKUP(U14Mcombined[[#This Row],[Card]],results0117[],3,FALSE),999)</f>
        <v>80</v>
      </c>
      <c r="I106" s="5">
        <f>VLOOKUP(U14Mcombined[[#This Row],[pos0117]],pointstable[],2,FALSE)</f>
        <v>0</v>
      </c>
      <c r="J106" s="5">
        <f>IFERROR(VLOOKUP(U14Mcombined[[#This Row],[Card]],results0119[],3,FALSE),999)</f>
        <v>999</v>
      </c>
      <c r="K106" s="5">
        <f>VLOOKUP(U14Mcombined[[#This Row],[pos0119]],pointstable[],2,FALSE)</f>
        <v>0</v>
      </c>
      <c r="L106" s="5">
        <f>IFERROR(VLOOKUP(U14Mcombined[[#This Row],[Card]],results0118[],3,FALSE),999)</f>
        <v>85</v>
      </c>
      <c r="M106" s="5">
        <f>VLOOKUP(U14Mcombined[[#This Row],[pos0118]],pointstable[],2,FALSE)</f>
        <v>0</v>
      </c>
      <c r="N106" s="5">
        <f>IFERROR(VLOOKUP(U14Mcombined[[#This Row],[Card]],results0123[],3,FALSE),999)</f>
        <v>999</v>
      </c>
      <c r="O106" s="5">
        <f>VLOOKUP(U14Mcombined[[#This Row],[pos0123]],pointstable[],2,FALSE)</f>
        <v>0</v>
      </c>
      <c r="P106" s="5">
        <f>IFERROR(VLOOKUP(U14Mcombined[[#This Row],[Card]],results0120[],3,FALSE),999)</f>
        <v>60</v>
      </c>
      <c r="Q106" s="5">
        <f>VLOOKUP(U14Mcombined[[#This Row],[pos0120]],pointstable[],2,FALSE)</f>
        <v>1</v>
      </c>
      <c r="R106" s="5">
        <f>IFERROR(VLOOKUP(U14Mcombined[[#This Row],[Card]],results0124[],3,FALSE),999)</f>
        <v>84</v>
      </c>
      <c r="S106" s="5">
        <f>IFERROR(VLOOKUP(U14Mcombined[[#This Row],[Card]],results0140[],3,FALSE),999)</f>
        <v>999</v>
      </c>
      <c r="T106" s="5">
        <f>IFERROR(VLOOKUP(U14Mcombined[[#This Row],[Card]],results0125[],3,FALSE),999)</f>
        <v>83</v>
      </c>
      <c r="U106" s="5">
        <f>VLOOKUP(U14Mcombined[[#This Row],[pos0124]],pointstable[],2,FALSE)</f>
        <v>0</v>
      </c>
      <c r="V106" s="5">
        <f>VLOOKUP(U14Mcombined[[#This Row],[pos0140]],pointstable[],2,FALSE)</f>
        <v>0</v>
      </c>
      <c r="W106" s="5">
        <f>VLOOKUP(U14Mcombined[[#This Row],[pos0125]],pointstable[],2,FALSE)</f>
        <v>0</v>
      </c>
    </row>
    <row r="107" spans="1:23" x14ac:dyDescent="0.25">
      <c r="A107">
        <v>85950</v>
      </c>
      <c r="B107" t="s">
        <v>206</v>
      </c>
      <c r="C107" t="s">
        <v>31</v>
      </c>
      <c r="D107">
        <v>4</v>
      </c>
      <c r="E107" s="5">
        <f>SUM(LARGE(U107:W107,{1,2}))</f>
        <v>0</v>
      </c>
      <c r="F107" s="5">
        <f>MAX(U14Mcombined[[#This Row],[pts0119]],U14Mcombined[[#This Row],[pts0118]],U14Mcombined[[#This Row],[pts0120]])</f>
        <v>1</v>
      </c>
      <c r="G107" s="5">
        <f>MAX(U14Mcombined[[#This Row],[pts0117]],U14Mcombined[[#This Row],[pts0123]])</f>
        <v>0</v>
      </c>
      <c r="H107" s="5">
        <f>IFERROR(VLOOKUP(U14Mcombined[[#This Row],[Card]],results0117[],3,FALSE),999)</f>
        <v>65</v>
      </c>
      <c r="I107" s="5">
        <f>VLOOKUP(U14Mcombined[[#This Row],[pos0117]],pointstable[],2,FALSE)</f>
        <v>0</v>
      </c>
      <c r="J107" s="5">
        <f>IFERROR(VLOOKUP(U14Mcombined[[#This Row],[Card]],results0119[],3,FALSE),999)</f>
        <v>60</v>
      </c>
      <c r="K107" s="5">
        <f>VLOOKUP(U14Mcombined[[#This Row],[pos0119]],pointstable[],2,FALSE)</f>
        <v>1</v>
      </c>
      <c r="L107" s="5">
        <f>IFERROR(VLOOKUP(U14Mcombined[[#This Row],[Card]],results0118[],3,FALSE),999)</f>
        <v>999</v>
      </c>
      <c r="M107" s="5">
        <f>VLOOKUP(U14Mcombined[[#This Row],[pos0118]],pointstable[],2,FALSE)</f>
        <v>0</v>
      </c>
      <c r="N107" s="5">
        <f>IFERROR(VLOOKUP(U14Mcombined[[#This Row],[Card]],results0123[],3,FALSE),999)</f>
        <v>80</v>
      </c>
      <c r="O107" s="5">
        <f>VLOOKUP(U14Mcombined[[#This Row],[pos0123]],pointstable[],2,FALSE)</f>
        <v>0</v>
      </c>
      <c r="P107" s="5">
        <f>IFERROR(VLOOKUP(U14Mcombined[[#This Row],[Card]],results0120[],3,FALSE),999)</f>
        <v>999</v>
      </c>
      <c r="Q107" s="5">
        <f>VLOOKUP(U14Mcombined[[#This Row],[pos0120]],pointstable[],2,FALSE)</f>
        <v>0</v>
      </c>
      <c r="R107" s="5">
        <f>IFERROR(VLOOKUP(U14Mcombined[[#This Row],[Card]],results0124[],3,FALSE),999)</f>
        <v>87</v>
      </c>
      <c r="S107" s="5">
        <f>IFERROR(VLOOKUP(U14Mcombined[[#This Row],[Card]],results0140[],3,FALSE),999)</f>
        <v>999</v>
      </c>
      <c r="T107" s="5">
        <f>IFERROR(VLOOKUP(U14Mcombined[[#This Row],[Card]],results0125[],3,FALSE),999)</f>
        <v>999</v>
      </c>
      <c r="U107" s="5">
        <f>VLOOKUP(U14Mcombined[[#This Row],[pos0124]],pointstable[],2,FALSE)</f>
        <v>0</v>
      </c>
      <c r="V107" s="5">
        <f>VLOOKUP(U14Mcombined[[#This Row],[pos0140]],pointstable[],2,FALSE)</f>
        <v>0</v>
      </c>
      <c r="W107" s="5">
        <f>VLOOKUP(U14Mcombined[[#This Row],[pos0125]],pointstable[],2,FALSE)</f>
        <v>0</v>
      </c>
    </row>
    <row r="108" spans="1:23" x14ac:dyDescent="0.25">
      <c r="A108">
        <v>77258</v>
      </c>
      <c r="B108" t="s">
        <v>214</v>
      </c>
      <c r="C108" t="s">
        <v>42</v>
      </c>
      <c r="D108">
        <v>4</v>
      </c>
      <c r="E108" s="5">
        <f>SUM(LARGE(U108:W108,{1,2}))</f>
        <v>0</v>
      </c>
      <c r="F108" s="5">
        <f>MAX(U14Mcombined[[#This Row],[pts0119]],U14Mcombined[[#This Row],[pts0118]],U14Mcombined[[#This Row],[pts0120]])</f>
        <v>0</v>
      </c>
      <c r="G108" s="5">
        <f>MAX(U14Mcombined[[#This Row],[pts0117]],U14Mcombined[[#This Row],[pts0123]])</f>
        <v>0</v>
      </c>
      <c r="H108" s="5">
        <f>IFERROR(VLOOKUP(U14Mcombined[[#This Row],[Card]],results0117[],3,FALSE),999)</f>
        <v>999</v>
      </c>
      <c r="I108" s="5">
        <f>VLOOKUP(U14Mcombined[[#This Row],[pos0117]],pointstable[],2,FALSE)</f>
        <v>0</v>
      </c>
      <c r="J108" s="5">
        <f>IFERROR(VLOOKUP(U14Mcombined[[#This Row],[Card]],results0119[],3,FALSE),999)</f>
        <v>999</v>
      </c>
      <c r="K108" s="5">
        <f>VLOOKUP(U14Mcombined[[#This Row],[pos0119]],pointstable[],2,FALSE)</f>
        <v>0</v>
      </c>
      <c r="L108" s="5">
        <f>IFERROR(VLOOKUP(U14Mcombined[[#This Row],[Card]],results0118[],3,FALSE),999)</f>
        <v>999</v>
      </c>
      <c r="M108" s="5">
        <f>VLOOKUP(U14Mcombined[[#This Row],[pos0118]],pointstable[],2,FALSE)</f>
        <v>0</v>
      </c>
      <c r="N108" s="5">
        <f>IFERROR(VLOOKUP(U14Mcombined[[#This Row],[Card]],results0123[],3,FALSE),999)</f>
        <v>999</v>
      </c>
      <c r="O108" s="5">
        <f>VLOOKUP(U14Mcombined[[#This Row],[pos0123]],pointstable[],2,FALSE)</f>
        <v>0</v>
      </c>
      <c r="P108" s="5">
        <f>IFERROR(VLOOKUP(U14Mcombined[[#This Row],[Card]],results0120[],3,FALSE),999)</f>
        <v>999</v>
      </c>
      <c r="Q108" s="5">
        <f>VLOOKUP(U14Mcombined[[#This Row],[pos0120]],pointstable[],2,FALSE)</f>
        <v>0</v>
      </c>
      <c r="R108" s="5">
        <f>IFERROR(VLOOKUP(U14Mcombined[[#This Row],[Card]],results0124[],3,FALSE),999)</f>
        <v>999</v>
      </c>
      <c r="S108" s="5">
        <f>IFERROR(VLOOKUP(U14Mcombined[[#This Row],[Card]],results0140[],3,FALSE),999)</f>
        <v>999</v>
      </c>
      <c r="T108" s="5">
        <f>IFERROR(VLOOKUP(U14Mcombined[[#This Row],[Card]],results0125[],3,FALSE),999)</f>
        <v>999</v>
      </c>
      <c r="U108" s="5">
        <f>VLOOKUP(U14Mcombined[[#This Row],[pos0124]],pointstable[],2,FALSE)</f>
        <v>0</v>
      </c>
      <c r="V108" s="5">
        <f>VLOOKUP(U14Mcombined[[#This Row],[pos0140]],pointstable[],2,FALSE)</f>
        <v>0</v>
      </c>
      <c r="W108" s="5">
        <f>VLOOKUP(U14Mcombined[[#This Row],[pos0125]],pointstable[],2,FALSE)</f>
        <v>0</v>
      </c>
    </row>
    <row r="109" spans="1:23" x14ac:dyDescent="0.25">
      <c r="A109">
        <v>80701</v>
      </c>
      <c r="B109" t="s">
        <v>216</v>
      </c>
      <c r="C109" t="s">
        <v>31</v>
      </c>
      <c r="D109">
        <v>5</v>
      </c>
      <c r="E109" s="5">
        <f>SUM(LARGE(U109:W109,{1,2}))</f>
        <v>0</v>
      </c>
      <c r="F109" s="5">
        <f>MAX(U14Mcombined[[#This Row],[pts0119]],U14Mcombined[[#This Row],[pts0118]],U14Mcombined[[#This Row],[pts0120]])</f>
        <v>0</v>
      </c>
      <c r="G109" s="5">
        <f>MAX(U14Mcombined[[#This Row],[pts0117]],U14Mcombined[[#This Row],[pts0123]])</f>
        <v>0</v>
      </c>
      <c r="H109" s="5">
        <f>IFERROR(VLOOKUP(U14Mcombined[[#This Row],[Card]],results0117[],3,FALSE),999)</f>
        <v>72</v>
      </c>
      <c r="I109" s="5">
        <f>VLOOKUP(U14Mcombined[[#This Row],[pos0117]],pointstable[],2,FALSE)</f>
        <v>0</v>
      </c>
      <c r="J109" s="5">
        <f>IFERROR(VLOOKUP(U14Mcombined[[#This Row],[Card]],results0119[],3,FALSE),999)</f>
        <v>999</v>
      </c>
      <c r="K109" s="5">
        <f>VLOOKUP(U14Mcombined[[#This Row],[pos0119]],pointstable[],2,FALSE)</f>
        <v>0</v>
      </c>
      <c r="L109" s="5">
        <f>IFERROR(VLOOKUP(U14Mcombined[[#This Row],[Card]],results0118[],3,FALSE),999)</f>
        <v>999</v>
      </c>
      <c r="M109" s="5">
        <f>VLOOKUP(U14Mcombined[[#This Row],[pos0118]],pointstable[],2,FALSE)</f>
        <v>0</v>
      </c>
      <c r="N109" s="5">
        <f>IFERROR(VLOOKUP(U14Mcombined[[#This Row],[Card]],results0123[],3,FALSE),999)</f>
        <v>69</v>
      </c>
      <c r="O109" s="5">
        <f>VLOOKUP(U14Mcombined[[#This Row],[pos0123]],pointstable[],2,FALSE)</f>
        <v>0</v>
      </c>
      <c r="P109" s="5">
        <f>IFERROR(VLOOKUP(U14Mcombined[[#This Row],[Card]],results0120[],3,FALSE),999)</f>
        <v>999</v>
      </c>
      <c r="Q109" s="5">
        <f>VLOOKUP(U14Mcombined[[#This Row],[pos0120]],pointstable[],2,FALSE)</f>
        <v>0</v>
      </c>
      <c r="R109" s="5">
        <f>IFERROR(VLOOKUP(U14Mcombined[[#This Row],[Card]],results0124[],3,FALSE),999)</f>
        <v>82</v>
      </c>
      <c r="S109" s="5">
        <f>IFERROR(VLOOKUP(U14Mcombined[[#This Row],[Card]],results0140[],3,FALSE),999)</f>
        <v>999</v>
      </c>
      <c r="T109" s="5">
        <f>IFERROR(VLOOKUP(U14Mcombined[[#This Row],[Card]],results0125[],3,FALSE),999)</f>
        <v>75</v>
      </c>
      <c r="U109" s="5">
        <f>VLOOKUP(U14Mcombined[[#This Row],[pos0124]],pointstable[],2,FALSE)</f>
        <v>0</v>
      </c>
      <c r="V109" s="5">
        <f>VLOOKUP(U14Mcombined[[#This Row],[pos0140]],pointstable[],2,FALSE)</f>
        <v>0</v>
      </c>
      <c r="W109" s="5">
        <f>VLOOKUP(U14Mcombined[[#This Row],[pos0125]],pointstable[],2,FALSE)</f>
        <v>0</v>
      </c>
    </row>
    <row r="110" spans="1:23" x14ac:dyDescent="0.25">
      <c r="A110">
        <v>80830</v>
      </c>
      <c r="B110" t="s">
        <v>217</v>
      </c>
      <c r="C110" t="s">
        <v>54</v>
      </c>
      <c r="D110">
        <v>5</v>
      </c>
      <c r="E110" s="5">
        <f>SUM(LARGE(U110:W110,{1,2}))</f>
        <v>0</v>
      </c>
      <c r="F110" s="5">
        <f>MAX(U14Mcombined[[#This Row],[pts0119]],U14Mcombined[[#This Row],[pts0118]],U14Mcombined[[#This Row],[pts0120]])</f>
        <v>8</v>
      </c>
      <c r="G110" s="5">
        <f>MAX(U14Mcombined[[#This Row],[pts0117]],U14Mcombined[[#This Row],[pts0123]])</f>
        <v>0</v>
      </c>
      <c r="H110" s="5">
        <f>IFERROR(VLOOKUP(U14Mcombined[[#This Row],[Card]],results0117[],3,FALSE),999)</f>
        <v>63</v>
      </c>
      <c r="I110" s="5">
        <f>VLOOKUP(U14Mcombined[[#This Row],[pos0117]],pointstable[],2,FALSE)</f>
        <v>0</v>
      </c>
      <c r="J110" s="5">
        <f>IFERROR(VLOOKUP(U14Mcombined[[#This Row],[Card]],results0119[],3,FALSE),999)</f>
        <v>52</v>
      </c>
      <c r="K110" s="5">
        <f>VLOOKUP(U14Mcombined[[#This Row],[pos0119]],pointstable[],2,FALSE)</f>
        <v>8</v>
      </c>
      <c r="L110" s="5">
        <f>IFERROR(VLOOKUP(U14Mcombined[[#This Row],[Card]],results0118[],3,FALSE),999)</f>
        <v>69</v>
      </c>
      <c r="M110" s="5">
        <f>VLOOKUP(U14Mcombined[[#This Row],[pos0118]],pointstable[],2,FALSE)</f>
        <v>0</v>
      </c>
      <c r="N110" s="5">
        <f>IFERROR(VLOOKUP(U14Mcombined[[#This Row],[Card]],results0123[],3,FALSE),999)</f>
        <v>72</v>
      </c>
      <c r="O110" s="5">
        <f>VLOOKUP(U14Mcombined[[#This Row],[pos0123]],pointstable[],2,FALSE)</f>
        <v>0</v>
      </c>
      <c r="P110" s="5">
        <f>IFERROR(VLOOKUP(U14Mcombined[[#This Row],[Card]],results0120[],3,FALSE),999)</f>
        <v>999</v>
      </c>
      <c r="Q110" s="5">
        <f>VLOOKUP(U14Mcombined[[#This Row],[pos0120]],pointstable[],2,FALSE)</f>
        <v>0</v>
      </c>
      <c r="R110" s="5">
        <f>IFERROR(VLOOKUP(U14Mcombined[[#This Row],[Card]],results0124[],3,FALSE),999)</f>
        <v>68</v>
      </c>
      <c r="S110" s="5">
        <f>IFERROR(VLOOKUP(U14Mcombined[[#This Row],[Card]],results0140[],3,FALSE),999)</f>
        <v>999</v>
      </c>
      <c r="T110" s="5">
        <f>IFERROR(VLOOKUP(U14Mcombined[[#This Row],[Card]],results0125[],3,FALSE),999)</f>
        <v>64</v>
      </c>
      <c r="U110" s="5">
        <f>VLOOKUP(U14Mcombined[[#This Row],[pos0124]],pointstable[],2,FALSE)</f>
        <v>0</v>
      </c>
      <c r="V110" s="5">
        <f>VLOOKUP(U14Mcombined[[#This Row],[pos0140]],pointstable[],2,FALSE)</f>
        <v>0</v>
      </c>
      <c r="W110" s="5">
        <f>VLOOKUP(U14Mcombined[[#This Row],[pos0125]],pointstable[],2,FALSE)</f>
        <v>0</v>
      </c>
    </row>
    <row r="111" spans="1:23" x14ac:dyDescent="0.25">
      <c r="A111">
        <v>85454</v>
      </c>
      <c r="B111" t="s">
        <v>218</v>
      </c>
      <c r="C111" t="s">
        <v>54</v>
      </c>
      <c r="D111">
        <v>5</v>
      </c>
      <c r="E111" s="5">
        <f>SUM(LARGE(U111:W111,{1,2}))</f>
        <v>0</v>
      </c>
      <c r="F111" s="5">
        <f>MAX(U14Mcombined[[#This Row],[pts0119]],U14Mcombined[[#This Row],[pts0118]],U14Mcombined[[#This Row],[pts0120]])</f>
        <v>19</v>
      </c>
      <c r="G111" s="5">
        <f>MAX(U14Mcombined[[#This Row],[pts0117]],U14Mcombined[[#This Row],[pts0123]])</f>
        <v>1</v>
      </c>
      <c r="H111" s="5">
        <f>IFERROR(VLOOKUP(U14Mcombined[[#This Row],[Card]],results0117[],3,FALSE),999)</f>
        <v>59</v>
      </c>
      <c r="I111" s="5">
        <f>VLOOKUP(U14Mcombined[[#This Row],[pos0117]],pointstable[],2,FALSE)</f>
        <v>1</v>
      </c>
      <c r="J111" s="5">
        <f>IFERROR(VLOOKUP(U14Mcombined[[#This Row],[Card]],results0119[],3,FALSE),999)</f>
        <v>44</v>
      </c>
      <c r="K111" s="5">
        <f>VLOOKUP(U14Mcombined[[#This Row],[pos0119]],pointstable[],2,FALSE)</f>
        <v>16</v>
      </c>
      <c r="L111" s="5">
        <f>IFERROR(VLOOKUP(U14Mcombined[[#This Row],[Card]],results0118[],3,FALSE),999)</f>
        <v>999</v>
      </c>
      <c r="M111" s="5">
        <f>VLOOKUP(U14Mcombined[[#This Row],[pos0118]],pointstable[],2,FALSE)</f>
        <v>0</v>
      </c>
      <c r="N111" s="5">
        <f>IFERROR(VLOOKUP(U14Mcombined[[#This Row],[Card]],results0123[],3,FALSE),999)</f>
        <v>999</v>
      </c>
      <c r="O111" s="5">
        <f>VLOOKUP(U14Mcombined[[#This Row],[pos0123]],pointstable[],2,FALSE)</f>
        <v>0</v>
      </c>
      <c r="P111" s="5">
        <f>IFERROR(VLOOKUP(U14Mcombined[[#This Row],[Card]],results0120[],3,FALSE),999)</f>
        <v>41</v>
      </c>
      <c r="Q111" s="5">
        <f>VLOOKUP(U14Mcombined[[#This Row],[pos0120]],pointstable[],2,FALSE)</f>
        <v>19</v>
      </c>
      <c r="R111" s="5">
        <f>IFERROR(VLOOKUP(U14Mcombined[[#This Row],[Card]],results0124[],3,FALSE),999)</f>
        <v>75</v>
      </c>
      <c r="S111" s="5">
        <f>IFERROR(VLOOKUP(U14Mcombined[[#This Row],[Card]],results0140[],3,FALSE),999)</f>
        <v>999</v>
      </c>
      <c r="T111" s="5">
        <f>IFERROR(VLOOKUP(U14Mcombined[[#This Row],[Card]],results0125[],3,FALSE),999)</f>
        <v>89</v>
      </c>
      <c r="U111" s="5">
        <f>VLOOKUP(U14Mcombined[[#This Row],[pos0124]],pointstable[],2,FALSE)</f>
        <v>0</v>
      </c>
      <c r="V111" s="5">
        <f>VLOOKUP(U14Mcombined[[#This Row],[pos0140]],pointstable[],2,FALSE)</f>
        <v>0</v>
      </c>
      <c r="W111" s="5">
        <f>VLOOKUP(U14Mcombined[[#This Row],[pos0125]],pointstable[],2,FALSE)</f>
        <v>0</v>
      </c>
    </row>
    <row r="112" spans="1:23" x14ac:dyDescent="0.25">
      <c r="A112">
        <v>80610</v>
      </c>
      <c r="B112" t="s">
        <v>219</v>
      </c>
      <c r="C112" t="s">
        <v>15</v>
      </c>
      <c r="D112">
        <v>5</v>
      </c>
      <c r="E112" s="5">
        <f>SUM(LARGE(U112:W112,{1,2}))</f>
        <v>0</v>
      </c>
      <c r="F112" s="5">
        <f>MAX(U14Mcombined[[#This Row],[pts0119]],U14Mcombined[[#This Row],[pts0118]],U14Mcombined[[#This Row],[pts0120]])</f>
        <v>180</v>
      </c>
      <c r="G112" s="5">
        <f>MAX(U14Mcombined[[#This Row],[pts0117]],U14Mcombined[[#This Row],[pts0123]])</f>
        <v>250</v>
      </c>
      <c r="H112" s="5">
        <f>IFERROR(VLOOKUP(U14Mcombined[[#This Row],[Card]],results0117[],3,FALSE),999)</f>
        <v>7</v>
      </c>
      <c r="I112" s="5">
        <f>VLOOKUP(U14Mcombined[[#This Row],[pos0117]],pointstable[],2,FALSE)</f>
        <v>180</v>
      </c>
      <c r="J112" s="5">
        <f>IFERROR(VLOOKUP(U14Mcombined[[#This Row],[Card]],results0119[],3,FALSE),999)</f>
        <v>13</v>
      </c>
      <c r="K112" s="5">
        <f>VLOOKUP(U14Mcombined[[#This Row],[pos0119]],pointstable[],2,FALSE)</f>
        <v>100</v>
      </c>
      <c r="L112" s="5">
        <f>IFERROR(VLOOKUP(U14Mcombined[[#This Row],[Card]],results0118[],3,FALSE),999)</f>
        <v>7</v>
      </c>
      <c r="M112" s="5">
        <f>VLOOKUP(U14Mcombined[[#This Row],[pos0118]],pointstable[],2,FALSE)</f>
        <v>180</v>
      </c>
      <c r="N112" s="5">
        <f>IFERROR(VLOOKUP(U14Mcombined[[#This Row],[Card]],results0123[],3,FALSE),999)</f>
        <v>4</v>
      </c>
      <c r="O112" s="5">
        <f>VLOOKUP(U14Mcombined[[#This Row],[pos0123]],pointstable[],2,FALSE)</f>
        <v>250</v>
      </c>
      <c r="P112" s="5">
        <f>IFERROR(VLOOKUP(U14Mcombined[[#This Row],[Card]],results0120[],3,FALSE),999)</f>
        <v>40</v>
      </c>
      <c r="Q112" s="5">
        <f>VLOOKUP(U14Mcombined[[#This Row],[pos0120]],pointstable[],2,FALSE)</f>
        <v>20</v>
      </c>
      <c r="R112" s="5">
        <f>IFERROR(VLOOKUP(U14Mcombined[[#This Row],[Card]],results0124[],3,FALSE),999)</f>
        <v>999</v>
      </c>
      <c r="S112" s="5">
        <f>IFERROR(VLOOKUP(U14Mcombined[[#This Row],[Card]],results0140[],3,FALSE),999)</f>
        <v>999</v>
      </c>
      <c r="T112" s="5">
        <f>IFERROR(VLOOKUP(U14Mcombined[[#This Row],[Card]],results0125[],3,FALSE),999)</f>
        <v>999</v>
      </c>
      <c r="U112" s="5">
        <f>VLOOKUP(U14Mcombined[[#This Row],[pos0124]],pointstable[],2,FALSE)</f>
        <v>0</v>
      </c>
      <c r="V112" s="5">
        <f>VLOOKUP(U14Mcombined[[#This Row],[pos0140]],pointstable[],2,FALSE)</f>
        <v>0</v>
      </c>
      <c r="W112" s="5">
        <f>VLOOKUP(U14Mcombined[[#This Row],[pos0125]],pointstable[],2,FALSE)</f>
        <v>0</v>
      </c>
    </row>
    <row r="113" spans="1:23" x14ac:dyDescent="0.25">
      <c r="A113">
        <v>85546</v>
      </c>
      <c r="B113" t="s">
        <v>221</v>
      </c>
      <c r="C113" t="s">
        <v>117</v>
      </c>
      <c r="D113">
        <v>4</v>
      </c>
      <c r="E113" s="5">
        <f>SUM(LARGE(U113:W113,{1,2}))</f>
        <v>0</v>
      </c>
      <c r="F113" s="5">
        <f>MAX(U14Mcombined[[#This Row],[pts0119]],U14Mcombined[[#This Row],[pts0118]],U14Mcombined[[#This Row],[pts0120]])</f>
        <v>8</v>
      </c>
      <c r="G113" s="5">
        <f>MAX(U14Mcombined[[#This Row],[pts0117]],U14Mcombined[[#This Row],[pts0123]])</f>
        <v>20</v>
      </c>
      <c r="H113" s="5">
        <f>IFERROR(VLOOKUP(U14Mcombined[[#This Row],[Card]],results0117[],3,FALSE),999)</f>
        <v>40</v>
      </c>
      <c r="I113" s="5">
        <f>VLOOKUP(U14Mcombined[[#This Row],[pos0117]],pointstable[],2,FALSE)</f>
        <v>20</v>
      </c>
      <c r="J113" s="5">
        <f>IFERROR(VLOOKUP(U14Mcombined[[#This Row],[Card]],results0119[],3,FALSE),999)</f>
        <v>999</v>
      </c>
      <c r="K113" s="5">
        <f>VLOOKUP(U14Mcombined[[#This Row],[pos0119]],pointstable[],2,FALSE)</f>
        <v>0</v>
      </c>
      <c r="L113" s="5">
        <f>IFERROR(VLOOKUP(U14Mcombined[[#This Row],[Card]],results0118[],3,FALSE),999)</f>
        <v>999</v>
      </c>
      <c r="M113" s="5">
        <f>VLOOKUP(U14Mcombined[[#This Row],[pos0118]],pointstable[],2,FALSE)</f>
        <v>0</v>
      </c>
      <c r="N113" s="5">
        <f>IFERROR(VLOOKUP(U14Mcombined[[#This Row],[Card]],results0123[],3,FALSE),999)</f>
        <v>54</v>
      </c>
      <c r="O113" s="5">
        <f>VLOOKUP(U14Mcombined[[#This Row],[pos0123]],pointstable[],2,FALSE)</f>
        <v>6</v>
      </c>
      <c r="P113" s="5">
        <f>IFERROR(VLOOKUP(U14Mcombined[[#This Row],[Card]],results0120[],3,FALSE),999)</f>
        <v>52</v>
      </c>
      <c r="Q113" s="5">
        <f>VLOOKUP(U14Mcombined[[#This Row],[pos0120]],pointstable[],2,FALSE)</f>
        <v>8</v>
      </c>
      <c r="R113" s="5">
        <f>IFERROR(VLOOKUP(U14Mcombined[[#This Row],[Card]],results0124[],3,FALSE),999)</f>
        <v>999</v>
      </c>
      <c r="S113" s="5">
        <f>IFERROR(VLOOKUP(U14Mcombined[[#This Row],[Card]],results0140[],3,FALSE),999)</f>
        <v>999</v>
      </c>
      <c r="T113" s="5">
        <f>IFERROR(VLOOKUP(U14Mcombined[[#This Row],[Card]],results0125[],3,FALSE),999)</f>
        <v>80</v>
      </c>
      <c r="U113" s="5">
        <f>VLOOKUP(U14Mcombined[[#This Row],[pos0124]],pointstable[],2,FALSE)</f>
        <v>0</v>
      </c>
      <c r="V113" s="5">
        <f>VLOOKUP(U14Mcombined[[#This Row],[pos0140]],pointstable[],2,FALSE)</f>
        <v>0</v>
      </c>
      <c r="W113" s="5">
        <f>VLOOKUP(U14Mcombined[[#This Row],[pos0125]],pointstable[],2,FALSE)</f>
        <v>0</v>
      </c>
    </row>
    <row r="114" spans="1:23" x14ac:dyDescent="0.25">
      <c r="A114">
        <v>80627</v>
      </c>
      <c r="B114" t="s">
        <v>222</v>
      </c>
      <c r="C114" t="s">
        <v>19</v>
      </c>
      <c r="D114">
        <v>5</v>
      </c>
      <c r="E114" s="5">
        <f>SUM(LARGE(U114:W114,{1,2}))</f>
        <v>0</v>
      </c>
      <c r="F114" s="5">
        <f>MAX(U14Mcombined[[#This Row],[pts0119]],U14Mcombined[[#This Row],[pts0118]],U14Mcombined[[#This Row],[pts0120]])</f>
        <v>7</v>
      </c>
      <c r="G114" s="5">
        <f>MAX(U14Mcombined[[#This Row],[pts0117]],U14Mcombined[[#This Row],[pts0123]])</f>
        <v>0</v>
      </c>
      <c r="H114" s="5">
        <f>IFERROR(VLOOKUP(U14Mcombined[[#This Row],[Card]],results0117[],3,FALSE),999)</f>
        <v>999</v>
      </c>
      <c r="I114" s="5">
        <f>VLOOKUP(U14Mcombined[[#This Row],[pos0117]],pointstable[],2,FALSE)</f>
        <v>0</v>
      </c>
      <c r="J114" s="5">
        <f>IFERROR(VLOOKUP(U14Mcombined[[#This Row],[Card]],results0119[],3,FALSE),999)</f>
        <v>53</v>
      </c>
      <c r="K114" s="5">
        <f>VLOOKUP(U14Mcombined[[#This Row],[pos0119]],pointstable[],2,FALSE)</f>
        <v>7</v>
      </c>
      <c r="L114" s="5">
        <f>IFERROR(VLOOKUP(U14Mcombined[[#This Row],[Card]],results0118[],3,FALSE),999)</f>
        <v>999</v>
      </c>
      <c r="M114" s="5">
        <f>VLOOKUP(U14Mcombined[[#This Row],[pos0118]],pointstable[],2,FALSE)</f>
        <v>0</v>
      </c>
      <c r="N114" s="5">
        <f>IFERROR(VLOOKUP(U14Mcombined[[#This Row],[Card]],results0123[],3,FALSE),999)</f>
        <v>63</v>
      </c>
      <c r="O114" s="5">
        <f>VLOOKUP(U14Mcombined[[#This Row],[pos0123]],pointstable[],2,FALSE)</f>
        <v>0</v>
      </c>
      <c r="P114" s="5">
        <f>IFERROR(VLOOKUP(U14Mcombined[[#This Row],[Card]],results0120[],3,FALSE),999)</f>
        <v>999</v>
      </c>
      <c r="Q114" s="5">
        <f>VLOOKUP(U14Mcombined[[#This Row],[pos0120]],pointstable[],2,FALSE)</f>
        <v>0</v>
      </c>
      <c r="R114" s="5">
        <f>IFERROR(VLOOKUP(U14Mcombined[[#This Row],[Card]],results0124[],3,FALSE),999)</f>
        <v>999</v>
      </c>
      <c r="S114" s="5">
        <f>IFERROR(VLOOKUP(U14Mcombined[[#This Row],[Card]],results0140[],3,FALSE),999)</f>
        <v>999</v>
      </c>
      <c r="T114" s="5">
        <f>IFERROR(VLOOKUP(U14Mcombined[[#This Row],[Card]],results0125[],3,FALSE),999)</f>
        <v>66</v>
      </c>
      <c r="U114" s="5">
        <f>VLOOKUP(U14Mcombined[[#This Row],[pos0124]],pointstable[],2,FALSE)</f>
        <v>0</v>
      </c>
      <c r="V114" s="5">
        <f>VLOOKUP(U14Mcombined[[#This Row],[pos0140]],pointstable[],2,FALSE)</f>
        <v>0</v>
      </c>
      <c r="W114" s="5">
        <f>VLOOKUP(U14Mcombined[[#This Row],[pos0125]],pointstable[],2,FALSE)</f>
        <v>0</v>
      </c>
    </row>
    <row r="115" spans="1:23" x14ac:dyDescent="0.25">
      <c r="A115">
        <v>82405</v>
      </c>
      <c r="B115" t="s">
        <v>223</v>
      </c>
      <c r="C115" t="s">
        <v>101</v>
      </c>
      <c r="D115">
        <v>4</v>
      </c>
      <c r="E115" s="5">
        <f>SUM(LARGE(U115:W115,{1,2}))</f>
        <v>0</v>
      </c>
      <c r="F115" s="5">
        <f>MAX(U14Mcombined[[#This Row],[pts0119]],U14Mcombined[[#This Row],[pts0118]],U14Mcombined[[#This Row],[pts0120]])</f>
        <v>0</v>
      </c>
      <c r="G115" s="5">
        <f>MAX(U14Mcombined[[#This Row],[pts0117]],U14Mcombined[[#This Row],[pts0123]])</f>
        <v>0</v>
      </c>
      <c r="H115" s="5">
        <f>IFERROR(VLOOKUP(U14Mcombined[[#This Row],[Card]],results0117[],3,FALSE),999)</f>
        <v>999</v>
      </c>
      <c r="I115" s="5">
        <f>VLOOKUP(U14Mcombined[[#This Row],[pos0117]],pointstable[],2,FALSE)</f>
        <v>0</v>
      </c>
      <c r="J115" s="5">
        <f>IFERROR(VLOOKUP(U14Mcombined[[#This Row],[Card]],results0119[],3,FALSE),999)</f>
        <v>999</v>
      </c>
      <c r="K115" s="5">
        <f>VLOOKUP(U14Mcombined[[#This Row],[pos0119]],pointstable[],2,FALSE)</f>
        <v>0</v>
      </c>
      <c r="L115" s="5">
        <f>IFERROR(VLOOKUP(U14Mcombined[[#This Row],[Card]],results0118[],3,FALSE),999)</f>
        <v>999</v>
      </c>
      <c r="M115" s="5">
        <f>VLOOKUP(U14Mcombined[[#This Row],[pos0118]],pointstable[],2,FALSE)</f>
        <v>0</v>
      </c>
      <c r="N115" s="5">
        <f>IFERROR(VLOOKUP(U14Mcombined[[#This Row],[Card]],results0123[],3,FALSE),999)</f>
        <v>999</v>
      </c>
      <c r="O115" s="5">
        <f>VLOOKUP(U14Mcombined[[#This Row],[pos0123]],pointstable[],2,FALSE)</f>
        <v>0</v>
      </c>
      <c r="P115" s="5">
        <f>IFERROR(VLOOKUP(U14Mcombined[[#This Row],[Card]],results0120[],3,FALSE),999)</f>
        <v>999</v>
      </c>
      <c r="Q115" s="5">
        <f>VLOOKUP(U14Mcombined[[#This Row],[pos0120]],pointstable[],2,FALSE)</f>
        <v>0</v>
      </c>
      <c r="R115" s="5">
        <f>IFERROR(VLOOKUP(U14Mcombined[[#This Row],[Card]],results0124[],3,FALSE),999)</f>
        <v>999</v>
      </c>
      <c r="S115" s="5">
        <f>IFERROR(VLOOKUP(U14Mcombined[[#This Row],[Card]],results0140[],3,FALSE),999)</f>
        <v>999</v>
      </c>
      <c r="T115" s="5">
        <f>IFERROR(VLOOKUP(U14Mcombined[[#This Row],[Card]],results0125[],3,FALSE),999)</f>
        <v>999</v>
      </c>
      <c r="U115" s="5">
        <f>VLOOKUP(U14Mcombined[[#This Row],[pos0124]],pointstable[],2,FALSE)</f>
        <v>0</v>
      </c>
      <c r="V115" s="5">
        <f>VLOOKUP(U14Mcombined[[#This Row],[pos0140]],pointstable[],2,FALSE)</f>
        <v>0</v>
      </c>
      <c r="W115" s="5">
        <f>VLOOKUP(U14Mcombined[[#This Row],[pos0125]],pointstable[],2,FALSE)</f>
        <v>0</v>
      </c>
    </row>
    <row r="116" spans="1:23" x14ac:dyDescent="0.25">
      <c r="A116">
        <v>85448</v>
      </c>
      <c r="B116" t="s">
        <v>224</v>
      </c>
      <c r="C116" t="s">
        <v>101</v>
      </c>
      <c r="D116">
        <v>4</v>
      </c>
      <c r="E116" s="5">
        <f>SUM(LARGE(U116:W116,{1,2}))</f>
        <v>0</v>
      </c>
      <c r="F116" s="5">
        <f>MAX(U14Mcombined[[#This Row],[pts0119]],U14Mcombined[[#This Row],[pts0118]],U14Mcombined[[#This Row],[pts0120]])</f>
        <v>0</v>
      </c>
      <c r="G116" s="5">
        <f>MAX(U14Mcombined[[#This Row],[pts0117]],U14Mcombined[[#This Row],[pts0123]])</f>
        <v>21</v>
      </c>
      <c r="H116" s="5">
        <f>IFERROR(VLOOKUP(U14Mcombined[[#This Row],[Card]],results0117[],3,FALSE),999)</f>
        <v>39</v>
      </c>
      <c r="I116" s="5">
        <f>VLOOKUP(U14Mcombined[[#This Row],[pos0117]],pointstable[],2,FALSE)</f>
        <v>21</v>
      </c>
      <c r="J116" s="5">
        <f>IFERROR(VLOOKUP(U14Mcombined[[#This Row],[Card]],results0119[],3,FALSE),999)</f>
        <v>999</v>
      </c>
      <c r="K116" s="5">
        <f>VLOOKUP(U14Mcombined[[#This Row],[pos0119]],pointstable[],2,FALSE)</f>
        <v>0</v>
      </c>
      <c r="L116" s="5">
        <f>IFERROR(VLOOKUP(U14Mcombined[[#This Row],[Card]],results0118[],3,FALSE),999)</f>
        <v>64</v>
      </c>
      <c r="M116" s="5">
        <f>VLOOKUP(U14Mcombined[[#This Row],[pos0118]],pointstable[],2,FALSE)</f>
        <v>0</v>
      </c>
      <c r="N116" s="5">
        <f>IFERROR(VLOOKUP(U14Mcombined[[#This Row],[Card]],results0123[],3,FALSE),999)</f>
        <v>77</v>
      </c>
      <c r="O116" s="5">
        <f>VLOOKUP(U14Mcombined[[#This Row],[pos0123]],pointstable[],2,FALSE)</f>
        <v>0</v>
      </c>
      <c r="P116" s="5">
        <f>IFERROR(VLOOKUP(U14Mcombined[[#This Row],[Card]],results0120[],3,FALSE),999)</f>
        <v>999</v>
      </c>
      <c r="Q116" s="5">
        <f>VLOOKUP(U14Mcombined[[#This Row],[pos0120]],pointstable[],2,FALSE)</f>
        <v>0</v>
      </c>
      <c r="R116" s="5">
        <f>IFERROR(VLOOKUP(U14Mcombined[[#This Row],[Card]],results0124[],3,FALSE),999)</f>
        <v>74</v>
      </c>
      <c r="S116" s="5">
        <f>IFERROR(VLOOKUP(U14Mcombined[[#This Row],[Card]],results0140[],3,FALSE),999)</f>
        <v>999</v>
      </c>
      <c r="T116" s="5">
        <f>IFERROR(VLOOKUP(U14Mcombined[[#This Row],[Card]],results0125[],3,FALSE),999)</f>
        <v>999</v>
      </c>
      <c r="U116" s="5">
        <f>VLOOKUP(U14Mcombined[[#This Row],[pos0124]],pointstable[],2,FALSE)</f>
        <v>0</v>
      </c>
      <c r="V116" s="5">
        <f>VLOOKUP(U14Mcombined[[#This Row],[pos0140]],pointstable[],2,FALSE)</f>
        <v>0</v>
      </c>
      <c r="W116" s="5">
        <f>VLOOKUP(U14Mcombined[[#This Row],[pos0125]],pointstable[],2,FALSE)</f>
        <v>0</v>
      </c>
    </row>
    <row r="117" spans="1:23" x14ac:dyDescent="0.25">
      <c r="A117">
        <v>86207</v>
      </c>
      <c r="B117" s="5" t="s">
        <v>294</v>
      </c>
      <c r="C117" s="5" t="s">
        <v>54</v>
      </c>
      <c r="D117">
        <v>5</v>
      </c>
      <c r="E117" s="5">
        <f>SUM(LARGE(U117:W117,{1,2}))</f>
        <v>0</v>
      </c>
      <c r="F117" s="5">
        <f>MAX(U14Mcombined[[#This Row],[pts0119]],U14Mcombined[[#This Row],[pts0118]],U14Mcombined[[#This Row],[pts0120]])</f>
        <v>6</v>
      </c>
      <c r="G117" s="5">
        <f>MAX(U14Mcombined[[#This Row],[pts0117]],U14Mcombined[[#This Row],[pts0123]])</f>
        <v>0</v>
      </c>
      <c r="H117" s="5">
        <f>IFERROR(VLOOKUP(U14Mcombined[[#This Row],[Card]],results0117[],3,FALSE),999)</f>
        <v>74</v>
      </c>
      <c r="I117" s="5">
        <f>VLOOKUP(U14Mcombined[[#This Row],[pos0117]],pointstable[],2,FALSE)</f>
        <v>0</v>
      </c>
      <c r="J117" s="5">
        <f>IFERROR(VLOOKUP(U14Mcombined[[#This Row],[Card]],results0119[],3,FALSE),999)</f>
        <v>54</v>
      </c>
      <c r="K117" s="5">
        <f>VLOOKUP(U14Mcombined[[#This Row],[pos0119]],pointstable[],2,FALSE)</f>
        <v>6</v>
      </c>
      <c r="L117" s="5">
        <f>IFERROR(VLOOKUP(U14Mcombined[[#This Row],[Card]],results0118[],3,FALSE),999)</f>
        <v>78</v>
      </c>
      <c r="M117" s="5">
        <f>VLOOKUP(U14Mcombined[[#This Row],[pos0118]],pointstable[],2,FALSE)</f>
        <v>0</v>
      </c>
      <c r="N117" s="5">
        <f>IFERROR(VLOOKUP(U14Mcombined[[#This Row],[Card]],results0123[],3,FALSE),999)</f>
        <v>75</v>
      </c>
      <c r="O117" s="5">
        <f>VLOOKUP(U14Mcombined[[#This Row],[pos0123]],pointstable[],2,FALSE)</f>
        <v>0</v>
      </c>
      <c r="P117" s="5">
        <f>IFERROR(VLOOKUP(U14Mcombined[[#This Row],[Card]],results0120[],3,FALSE),999)</f>
        <v>999</v>
      </c>
      <c r="Q117" s="5">
        <f>VLOOKUP(U14Mcombined[[#This Row],[pos0120]],pointstable[],2,FALSE)</f>
        <v>0</v>
      </c>
      <c r="R117" s="5">
        <f>IFERROR(VLOOKUP(U14Mcombined[[#This Row],[Card]],results0124[],3,FALSE),999)</f>
        <v>67</v>
      </c>
      <c r="S117" s="5">
        <f>IFERROR(VLOOKUP(U14Mcombined[[#This Row],[Card]],results0140[],3,FALSE),999)</f>
        <v>999</v>
      </c>
      <c r="T117" s="5">
        <f>IFERROR(VLOOKUP(U14Mcombined[[#This Row],[Card]],results0125[],3,FALSE),999)</f>
        <v>999</v>
      </c>
      <c r="U117" s="5">
        <f>VLOOKUP(U14Mcombined[[#This Row],[pos0124]],pointstable[],2,FALSE)</f>
        <v>0</v>
      </c>
      <c r="V117" s="5">
        <f>VLOOKUP(U14Mcombined[[#This Row],[pos0140]],pointstable[],2,FALSE)</f>
        <v>0</v>
      </c>
      <c r="W117" s="5">
        <f>VLOOKUP(U14Mcombined[[#This Row],[pos0125]],pointstable[],2,FALSE)</f>
        <v>0</v>
      </c>
    </row>
    <row r="118" spans="1:23" x14ac:dyDescent="0.25">
      <c r="A118">
        <v>80807</v>
      </c>
      <c r="B118" s="5" t="s">
        <v>298</v>
      </c>
      <c r="C118" s="5" t="s">
        <v>54</v>
      </c>
      <c r="D118" s="5">
        <v>5</v>
      </c>
      <c r="E118" s="5">
        <f>SUM(LARGE(U118:W118,{1,2}))</f>
        <v>0</v>
      </c>
      <c r="F118" s="5">
        <f>MAX(U14Mcombined[[#This Row],[pts0119]],U14Mcombined[[#This Row],[pts0118]],U14Mcombined[[#This Row],[pts0120]])</f>
        <v>5</v>
      </c>
      <c r="G118" s="5">
        <f>MAX(U14Mcombined[[#This Row],[pts0117]],U14Mcombined[[#This Row],[pts0123]])</f>
        <v>0</v>
      </c>
      <c r="H118" s="5">
        <f>IFERROR(VLOOKUP(U14Mcombined[[#This Row],[Card]],results0117[],3,FALSE),999)</f>
        <v>77</v>
      </c>
      <c r="I118" s="5">
        <f>VLOOKUP(U14Mcombined[[#This Row],[pos0117]],pointstable[],2,FALSE)</f>
        <v>0</v>
      </c>
      <c r="J118" s="5">
        <f>IFERROR(VLOOKUP(U14Mcombined[[#This Row],[Card]],results0119[],3,FALSE),999)</f>
        <v>55</v>
      </c>
      <c r="K118" s="5">
        <f>VLOOKUP(U14Mcombined[[#This Row],[pos0119]],pointstable[],2,FALSE)</f>
        <v>5</v>
      </c>
      <c r="L118" s="5">
        <f>IFERROR(VLOOKUP(U14Mcombined[[#This Row],[Card]],results0118[],3,FALSE),999)</f>
        <v>86</v>
      </c>
      <c r="M118" s="5">
        <f>VLOOKUP(U14Mcombined[[#This Row],[pos0118]],pointstable[],2,FALSE)</f>
        <v>0</v>
      </c>
      <c r="N118" s="5">
        <f>IFERROR(VLOOKUP(U14Mcombined[[#This Row],[Card]],results0123[],3,FALSE),999)</f>
        <v>79</v>
      </c>
      <c r="O118" s="5">
        <f>VLOOKUP(U14Mcombined[[#This Row],[pos0123]],pointstable[],2,FALSE)</f>
        <v>0</v>
      </c>
      <c r="P118" s="5">
        <f>IFERROR(VLOOKUP(U14Mcombined[[#This Row],[Card]],results0120[],3,FALSE),999)</f>
        <v>59</v>
      </c>
      <c r="Q118" s="5">
        <f>VLOOKUP(U14Mcombined[[#This Row],[pos0120]],pointstable[],2,FALSE)</f>
        <v>1</v>
      </c>
      <c r="R118" s="5">
        <f>IFERROR(VLOOKUP(U14Mcombined[[#This Row],[Card]],results0124[],3,FALSE),999)</f>
        <v>69</v>
      </c>
      <c r="S118" s="5">
        <f>IFERROR(VLOOKUP(U14Mcombined[[#This Row],[Card]],results0140[],3,FALSE),999)</f>
        <v>999</v>
      </c>
      <c r="T118" s="5">
        <f>IFERROR(VLOOKUP(U14Mcombined[[#This Row],[Card]],results0125[],3,FALSE),999)</f>
        <v>77</v>
      </c>
      <c r="U118" s="5">
        <f>VLOOKUP(U14Mcombined[[#This Row],[pos0124]],pointstable[],2,FALSE)</f>
        <v>0</v>
      </c>
      <c r="V118" s="5">
        <f>VLOOKUP(U14Mcombined[[#This Row],[pos0140]],pointstable[],2,FALSE)</f>
        <v>0</v>
      </c>
      <c r="W118" s="5">
        <f>VLOOKUP(U14Mcombined[[#This Row],[pos0125]],pointstable[],2,FALSE)</f>
        <v>0</v>
      </c>
    </row>
    <row r="119" spans="1:23" x14ac:dyDescent="0.25">
      <c r="A119">
        <v>80835</v>
      </c>
      <c r="B119" s="5" t="s">
        <v>302</v>
      </c>
      <c r="C119" s="5" t="s">
        <v>54</v>
      </c>
      <c r="D119" s="5">
        <v>5</v>
      </c>
      <c r="E119" s="5">
        <f>SUM(LARGE(U119:W119,{1,2}))</f>
        <v>0</v>
      </c>
      <c r="F119" s="5">
        <f>MAX(U14Mcombined[[#This Row],[pts0119]],U14Mcombined[[#This Row],[pts0118]],U14Mcombined[[#This Row],[pts0120]])</f>
        <v>0</v>
      </c>
      <c r="G119" s="5">
        <f>MAX(U14Mcombined[[#This Row],[pts0117]],U14Mcombined[[#This Row],[pts0123]])</f>
        <v>0</v>
      </c>
      <c r="H119" s="5">
        <f>IFERROR(VLOOKUP(U14Mcombined[[#This Row],[Card]],results0117[],3,FALSE),999)</f>
        <v>68</v>
      </c>
      <c r="I119" s="5">
        <f>VLOOKUP(U14Mcombined[[#This Row],[pos0117]],pointstable[],2,FALSE)</f>
        <v>0</v>
      </c>
      <c r="J119" s="5">
        <f>IFERROR(VLOOKUP(U14Mcombined[[#This Row],[Card]],results0119[],3,FALSE),999)</f>
        <v>999</v>
      </c>
      <c r="K119" s="5">
        <f>VLOOKUP(U14Mcombined[[#This Row],[pos0119]],pointstable[],2,FALSE)</f>
        <v>0</v>
      </c>
      <c r="L119" s="5">
        <f>IFERROR(VLOOKUP(U14Mcombined[[#This Row],[Card]],results0118[],3,FALSE),999)</f>
        <v>61</v>
      </c>
      <c r="M119" s="5">
        <f>VLOOKUP(U14Mcombined[[#This Row],[pos0118]],pointstable[],2,FALSE)</f>
        <v>0</v>
      </c>
      <c r="N119" s="5">
        <f>IFERROR(VLOOKUP(U14Mcombined[[#This Row],[Card]],results0123[],3,FALSE),999)</f>
        <v>999</v>
      </c>
      <c r="O119" s="5">
        <f>VLOOKUP(U14Mcombined[[#This Row],[pos0123]],pointstable[],2,FALSE)</f>
        <v>0</v>
      </c>
      <c r="P119" s="5">
        <f>IFERROR(VLOOKUP(U14Mcombined[[#This Row],[Card]],results0120[],3,FALSE),999)</f>
        <v>999</v>
      </c>
      <c r="Q119" s="5">
        <f>VLOOKUP(U14Mcombined[[#This Row],[pos0120]],pointstable[],2,FALSE)</f>
        <v>0</v>
      </c>
      <c r="R119" s="5">
        <f>IFERROR(VLOOKUP(U14Mcombined[[#This Row],[Card]],results0124[],3,FALSE),999)</f>
        <v>71</v>
      </c>
      <c r="S119" s="5">
        <f>IFERROR(VLOOKUP(U14Mcombined[[#This Row],[Card]],results0140[],3,FALSE),999)</f>
        <v>999</v>
      </c>
      <c r="T119" s="5">
        <f>IFERROR(VLOOKUP(U14Mcombined[[#This Row],[Card]],results0125[],3,FALSE),999)</f>
        <v>75</v>
      </c>
      <c r="U119" s="5">
        <f>VLOOKUP(U14Mcombined[[#This Row],[pos0124]],pointstable[],2,FALSE)</f>
        <v>0</v>
      </c>
      <c r="V119" s="5">
        <f>VLOOKUP(U14Mcombined[[#This Row],[pos0140]],pointstable[],2,FALSE)</f>
        <v>0</v>
      </c>
      <c r="W119" s="5">
        <f>VLOOKUP(U14Mcombined[[#This Row],[pos0125]],pointstable[],2,FALSE)</f>
        <v>0</v>
      </c>
    </row>
    <row r="120" spans="1:23" x14ac:dyDescent="0.25">
      <c r="A120" s="23">
        <v>84868</v>
      </c>
      <c r="B120" s="25" t="s">
        <v>312</v>
      </c>
      <c r="C120" s="25" t="s">
        <v>54</v>
      </c>
      <c r="D120" s="25">
        <v>5</v>
      </c>
      <c r="E120" s="5">
        <f>SUM(LARGE(U120:W120,{1,2}))</f>
        <v>0</v>
      </c>
      <c r="F120" s="5">
        <f>MAX(U14Mcombined[[#This Row],[pts0119]],U14Mcombined[[#This Row],[pts0118]],U14Mcombined[[#This Row],[pts0120]])</f>
        <v>9</v>
      </c>
      <c r="G120" s="5">
        <f>MAX(U14Mcombined[[#This Row],[pts0117]],U14Mcombined[[#This Row],[pts0123]])</f>
        <v>0</v>
      </c>
      <c r="H120" s="5">
        <f>IFERROR(VLOOKUP(U14Mcombined[[#This Row],[Card]],results0117[],3,FALSE),999)</f>
        <v>79</v>
      </c>
      <c r="I120" s="5">
        <f>VLOOKUP(U14Mcombined[[#This Row],[pos0117]],pointstable[],2,FALSE)</f>
        <v>0</v>
      </c>
      <c r="J120" s="5">
        <f>IFERROR(VLOOKUP(U14Mcombined[[#This Row],[Card]],results0119[],3,FALSE),999)</f>
        <v>51</v>
      </c>
      <c r="K120" s="5">
        <f>VLOOKUP(U14Mcombined[[#This Row],[pos0119]],pointstable[],2,FALSE)</f>
        <v>9</v>
      </c>
      <c r="L120" s="5">
        <f>IFERROR(VLOOKUP(U14Mcombined[[#This Row],[Card]],results0118[],3,FALSE),999)</f>
        <v>80</v>
      </c>
      <c r="M120" s="5">
        <f>VLOOKUP(U14Mcombined[[#This Row],[pos0118]],pointstable[],2,FALSE)</f>
        <v>0</v>
      </c>
      <c r="N120" s="5">
        <f>IFERROR(VLOOKUP(U14Mcombined[[#This Row],[Card]],results0123[],3,FALSE),999)</f>
        <v>999</v>
      </c>
      <c r="O120" s="5">
        <f>VLOOKUP(U14Mcombined[[#This Row],[pos0123]],pointstable[],2,FALSE)</f>
        <v>0</v>
      </c>
      <c r="P120" s="5">
        <f>IFERROR(VLOOKUP(U14Mcombined[[#This Row],[Card]],results0120[],3,FALSE),999)</f>
        <v>999</v>
      </c>
      <c r="Q120" s="5">
        <f>VLOOKUP(U14Mcombined[[#This Row],[pos0120]],pointstable[],2,FALSE)</f>
        <v>0</v>
      </c>
      <c r="R120" s="5">
        <f>IFERROR(VLOOKUP(U14Mcombined[[#This Row],[Card]],results0124[],3,FALSE),999)</f>
        <v>78</v>
      </c>
      <c r="S120" s="5">
        <f>IFERROR(VLOOKUP(U14Mcombined[[#This Row],[Card]],results0140[],3,FALSE),999)</f>
        <v>999</v>
      </c>
      <c r="T120" s="5">
        <f>IFERROR(VLOOKUP(U14Mcombined[[#This Row],[Card]],results0125[],3,FALSE),999)</f>
        <v>88</v>
      </c>
      <c r="U120" s="5">
        <f>VLOOKUP(U14Mcombined[[#This Row],[pos0124]],pointstable[],2,FALSE)</f>
        <v>0</v>
      </c>
      <c r="V120" s="5">
        <f>VLOOKUP(U14Mcombined[[#This Row],[pos0140]],pointstable[],2,FALSE)</f>
        <v>0</v>
      </c>
      <c r="W120" s="5">
        <f>VLOOKUP(U14Mcombined[[#This Row],[pos0125]],pointstable[],2,FALSE)</f>
        <v>0</v>
      </c>
    </row>
    <row r="121" spans="1:23" x14ac:dyDescent="0.25">
      <c r="A121" s="26">
        <v>78726</v>
      </c>
      <c r="B121" s="27" t="s">
        <v>322</v>
      </c>
      <c r="C121" s="27" t="s">
        <v>309</v>
      </c>
      <c r="D121" s="27">
        <v>4</v>
      </c>
      <c r="E121" s="5">
        <f>SUM(LARGE(U121:W121,{1,2}))</f>
        <v>0</v>
      </c>
      <c r="F121" s="5">
        <f>MAX(U14Mcombined[[#This Row],[pts0119]],U14Mcombined[[#This Row],[pts0118]],U14Mcombined[[#This Row],[pts0120]])</f>
        <v>0</v>
      </c>
      <c r="G121" s="5">
        <f>MAX(U14Mcombined[[#This Row],[pts0117]],U14Mcombined[[#This Row],[pts0123]])</f>
        <v>0</v>
      </c>
      <c r="H121" s="5">
        <f>IFERROR(VLOOKUP(U14Mcombined[[#This Row],[Card]],results0117[],3,FALSE),999)</f>
        <v>999</v>
      </c>
      <c r="I121" s="5">
        <f>VLOOKUP(U14Mcombined[[#This Row],[pos0117]],pointstable[],2,FALSE)</f>
        <v>0</v>
      </c>
      <c r="J121" s="5">
        <f>IFERROR(VLOOKUP(U14Mcombined[[#This Row],[Card]],results0119[],3,FALSE),999)</f>
        <v>999</v>
      </c>
      <c r="K121" s="5">
        <f>VLOOKUP(U14Mcombined[[#This Row],[pos0119]],pointstable[],2,FALSE)</f>
        <v>0</v>
      </c>
      <c r="L121" s="5">
        <f>IFERROR(VLOOKUP(U14Mcombined[[#This Row],[Card]],results0118[],3,FALSE),999)</f>
        <v>999</v>
      </c>
      <c r="M121" s="5">
        <f>VLOOKUP(U14Mcombined[[#This Row],[pos0118]],pointstable[],2,FALSE)</f>
        <v>0</v>
      </c>
      <c r="N121" s="5">
        <f>IFERROR(VLOOKUP(U14Mcombined[[#This Row],[Card]],results0123[],3,FALSE),999)</f>
        <v>999</v>
      </c>
      <c r="O121" s="5">
        <f>VLOOKUP(U14Mcombined[[#This Row],[pos0123]],pointstable[],2,FALSE)</f>
        <v>0</v>
      </c>
      <c r="P121" s="5">
        <f>IFERROR(VLOOKUP(U14Mcombined[[#This Row],[Card]],results0120[],3,FALSE),999)</f>
        <v>999</v>
      </c>
      <c r="Q121" s="5">
        <f>VLOOKUP(U14Mcombined[[#This Row],[pos0120]],pointstable[],2,FALSE)</f>
        <v>0</v>
      </c>
      <c r="R121" s="5">
        <f>IFERROR(VLOOKUP(U14Mcombined[[#This Row],[Card]],results0124[],3,FALSE),999)</f>
        <v>85</v>
      </c>
      <c r="S121" s="5">
        <f>IFERROR(VLOOKUP(U14Mcombined[[#This Row],[Card]],results0140[],3,FALSE),999)</f>
        <v>999</v>
      </c>
      <c r="T121" s="5">
        <f>IFERROR(VLOOKUP(U14Mcombined[[#This Row],[Card]],results0125[],3,FALSE),999)</f>
        <v>82</v>
      </c>
      <c r="U121" s="5">
        <f>VLOOKUP(U14Mcombined[[#This Row],[pos0124]],pointstable[],2,FALSE)</f>
        <v>0</v>
      </c>
      <c r="V121" s="5">
        <f>VLOOKUP(U14Mcombined[[#This Row],[pos0140]],pointstable[],2,FALSE)</f>
        <v>0</v>
      </c>
      <c r="W121" s="5">
        <f>VLOOKUP(U14Mcombined[[#This Row],[pos0125]],pointstable[],2,FALSE)</f>
        <v>0</v>
      </c>
    </row>
    <row r="122" spans="1:23" x14ac:dyDescent="0.25">
      <c r="A122">
        <v>81081</v>
      </c>
      <c r="B122" t="s">
        <v>330</v>
      </c>
      <c r="C122" t="s">
        <v>31</v>
      </c>
      <c r="D122" s="5">
        <v>5</v>
      </c>
      <c r="E122" s="5">
        <f>SUM(LARGE(U122:W122,{1,2}))</f>
        <v>0</v>
      </c>
      <c r="F122" s="5">
        <f>MAX(U14Mcombined[[#This Row],[pts0119]],U14Mcombined[[#This Row],[pts0118]],U14Mcombined[[#This Row],[pts0120]])</f>
        <v>2</v>
      </c>
      <c r="G122" s="5">
        <f>MAX(U14Mcombined[[#This Row],[pts0117]],U14Mcombined[[#This Row],[pts0123]])</f>
        <v>0</v>
      </c>
      <c r="H122" s="5">
        <f>IFERROR(VLOOKUP(U14Mcombined[[#This Row],[Card]],results0117[],3,FALSE),999)</f>
        <v>64</v>
      </c>
      <c r="I122" s="5">
        <f>VLOOKUP(U14Mcombined[[#This Row],[pos0117]],pointstable[],2,FALSE)</f>
        <v>0</v>
      </c>
      <c r="J122" s="5">
        <f>IFERROR(VLOOKUP(U14Mcombined[[#This Row],[Card]],results0119[],3,FALSE),999)</f>
        <v>999</v>
      </c>
      <c r="K122" s="5">
        <f>VLOOKUP(U14Mcombined[[#This Row],[pos0119]],pointstable[],2,FALSE)</f>
        <v>0</v>
      </c>
      <c r="L122" s="5">
        <f>IFERROR(VLOOKUP(U14Mcombined[[#This Row],[Card]],results0118[],3,FALSE),999)</f>
        <v>58</v>
      </c>
      <c r="M122" s="5">
        <f>VLOOKUP(U14Mcombined[[#This Row],[pos0118]],pointstable[],2,FALSE)</f>
        <v>2</v>
      </c>
      <c r="N122" s="5">
        <f>IFERROR(VLOOKUP(U14Mcombined[[#This Row],[Card]],results0123[],3,FALSE),999)</f>
        <v>71</v>
      </c>
      <c r="O122" s="5">
        <f>VLOOKUP(U14Mcombined[[#This Row],[pos0123]],pointstable[],2,FALSE)</f>
        <v>0</v>
      </c>
      <c r="P122" s="5">
        <f>IFERROR(VLOOKUP(U14Mcombined[[#This Row],[Card]],results0120[],3,FALSE),999)</f>
        <v>999</v>
      </c>
      <c r="Q122" s="5">
        <f>VLOOKUP(U14Mcombined[[#This Row],[pos0120]],pointstable[],2,FALSE)</f>
        <v>0</v>
      </c>
      <c r="R122" s="5">
        <f>IFERROR(VLOOKUP(U14Mcombined[[#This Row],[Card]],results0124[],3,FALSE),999)</f>
        <v>999</v>
      </c>
      <c r="S122" s="5">
        <f>IFERROR(VLOOKUP(U14Mcombined[[#This Row],[Card]],results0140[],3,FALSE),999)</f>
        <v>999</v>
      </c>
      <c r="T122" s="5">
        <f>IFERROR(VLOOKUP(U14Mcombined[[#This Row],[Card]],results0125[],3,FALSE),999)</f>
        <v>77</v>
      </c>
      <c r="U122" s="5">
        <f>VLOOKUP(U14Mcombined[[#This Row],[pos0124]],pointstable[],2,FALSE)</f>
        <v>0</v>
      </c>
      <c r="V122" s="5">
        <f>VLOOKUP(U14Mcombined[[#This Row],[pos0140]],pointstable[],2,FALSE)</f>
        <v>0</v>
      </c>
      <c r="W122" s="5">
        <f>VLOOKUP(U14Mcombined[[#This Row],[pos0125]],pointstable[],2,FALSE)</f>
        <v>0</v>
      </c>
    </row>
    <row r="123" spans="1:23" x14ac:dyDescent="0.25">
      <c r="A123">
        <v>86128</v>
      </c>
      <c r="B123" t="s">
        <v>461</v>
      </c>
      <c r="C123" t="s">
        <v>61</v>
      </c>
      <c r="D123" s="5">
        <v>5</v>
      </c>
      <c r="E123" s="5">
        <f>SUM(LARGE(U123:W123,{1,2}))</f>
        <v>0</v>
      </c>
      <c r="F123" s="5">
        <f>MAX(U14Mcombined[[#This Row],[pts0119]],U14Mcombined[[#This Row],[pts0118]],U14Mcombined[[#This Row],[pts0120]])</f>
        <v>3</v>
      </c>
      <c r="G123" s="5">
        <f>MAX(U14Mcombined[[#This Row],[pts0117]],U14Mcombined[[#This Row],[pts0123]])</f>
        <v>0</v>
      </c>
      <c r="H123" s="5">
        <f>IFERROR(VLOOKUP(U14Mcombined[[#This Row],[Card]],results0117[],3,FALSE),999)</f>
        <v>75</v>
      </c>
      <c r="I123" s="5">
        <f>VLOOKUP(U14Mcombined[[#This Row],[pos0117]],pointstable[],2,FALSE)</f>
        <v>0</v>
      </c>
      <c r="J123" s="5">
        <f>IFERROR(VLOOKUP(U14Mcombined[[#This Row],[Card]],results0119[],3,FALSE),999)</f>
        <v>57</v>
      </c>
      <c r="K123" s="5">
        <f>VLOOKUP(U14Mcombined[[#This Row],[pos0119]],pointstable[],2,FALSE)</f>
        <v>3</v>
      </c>
      <c r="L123" s="5">
        <f>IFERROR(VLOOKUP(U14Mcombined[[#This Row],[Card]],results0118[],3,FALSE),999)</f>
        <v>999</v>
      </c>
      <c r="M123" s="5">
        <f>VLOOKUP(U14Mcombined[[#This Row],[pos0118]],pointstable[],2,FALSE)</f>
        <v>0</v>
      </c>
      <c r="N123" s="5">
        <f>IFERROR(VLOOKUP(U14Mcombined[[#This Row],[Card]],results0123[],3,FALSE),999)</f>
        <v>999</v>
      </c>
      <c r="O123" s="5">
        <f>VLOOKUP(U14Mcombined[[#This Row],[pos0123]],pointstable[],2,FALSE)</f>
        <v>0</v>
      </c>
      <c r="P123" s="5">
        <f>IFERROR(VLOOKUP(U14Mcombined[[#This Row],[Card]],results0120[],3,FALSE),999)</f>
        <v>999</v>
      </c>
      <c r="Q123" s="5">
        <f>VLOOKUP(U14Mcombined[[#This Row],[pos0120]],pointstable[],2,FALSE)</f>
        <v>0</v>
      </c>
      <c r="R123" s="5">
        <f>IFERROR(VLOOKUP(U14Mcombined[[#This Row],[Card]],results0124[],3,FALSE),999)</f>
        <v>999</v>
      </c>
      <c r="S123" s="5">
        <f>IFERROR(VLOOKUP(U14Mcombined[[#This Row],[Card]],results0140[],3,FALSE),999)</f>
        <v>999</v>
      </c>
      <c r="T123" s="5">
        <f>IFERROR(VLOOKUP(U14Mcombined[[#This Row],[Card]],results0125[],3,FALSE),999)</f>
        <v>999</v>
      </c>
      <c r="U123" s="5">
        <f>VLOOKUP(U14Mcombined[[#This Row],[pos0124]],pointstable[],2,FALSE)</f>
        <v>0</v>
      </c>
      <c r="V123" s="5">
        <f>VLOOKUP(U14Mcombined[[#This Row],[pos0140]],pointstable[],2,FALSE)</f>
        <v>0</v>
      </c>
      <c r="W123" s="5">
        <f>VLOOKUP(U14Mcombined[[#This Row],[pos0125]],pointstable[],2,FALSE)</f>
        <v>0</v>
      </c>
    </row>
    <row r="124" spans="1:23" x14ac:dyDescent="0.25">
      <c r="A124">
        <v>87853</v>
      </c>
      <c r="B124" t="s">
        <v>463</v>
      </c>
      <c r="C124" t="s">
        <v>117</v>
      </c>
      <c r="D124" s="5">
        <v>5</v>
      </c>
      <c r="E124" s="5">
        <f>SUM(LARGE(U124:W124,{1,2}))</f>
        <v>0</v>
      </c>
      <c r="F124" s="5">
        <f>MAX(U14Mcombined[[#This Row],[pts0119]],U14Mcombined[[#This Row],[pts0118]],U14Mcombined[[#This Row],[pts0120]])</f>
        <v>0</v>
      </c>
      <c r="G124" s="5">
        <f>MAX(U14Mcombined[[#This Row],[pts0117]],U14Mcombined[[#This Row],[pts0123]])</f>
        <v>0</v>
      </c>
      <c r="H124" s="5">
        <f>IFERROR(VLOOKUP(U14Mcombined[[#This Row],[Card]],results0117[],3,FALSE),999)</f>
        <v>76</v>
      </c>
      <c r="I124" s="5">
        <f>VLOOKUP(U14Mcombined[[#This Row],[pos0117]],pointstable[],2,FALSE)</f>
        <v>0</v>
      </c>
      <c r="J124" s="5">
        <f>IFERROR(VLOOKUP(U14Mcombined[[#This Row],[Card]],results0119[],3,FALSE),999)</f>
        <v>999</v>
      </c>
      <c r="K124" s="5">
        <f>VLOOKUP(U14Mcombined[[#This Row],[pos0119]],pointstable[],2,FALSE)</f>
        <v>0</v>
      </c>
      <c r="L124" s="5">
        <f>IFERROR(VLOOKUP(U14Mcombined[[#This Row],[Card]],results0118[],3,FALSE),999)</f>
        <v>999</v>
      </c>
      <c r="M124" s="5">
        <f>VLOOKUP(U14Mcombined[[#This Row],[pos0118]],pointstable[],2,FALSE)</f>
        <v>0</v>
      </c>
      <c r="N124" s="5">
        <f>IFERROR(VLOOKUP(U14Mcombined[[#This Row],[Card]],results0123[],3,FALSE),999)</f>
        <v>999</v>
      </c>
      <c r="O124" s="5">
        <f>VLOOKUP(U14Mcombined[[#This Row],[pos0123]],pointstable[],2,FALSE)</f>
        <v>0</v>
      </c>
      <c r="P124" s="5">
        <f>IFERROR(VLOOKUP(U14Mcombined[[#This Row],[Card]],results0120[],3,FALSE),999)</f>
        <v>999</v>
      </c>
      <c r="Q124" s="5">
        <f>VLOOKUP(U14Mcombined[[#This Row],[pos0120]],pointstable[],2,FALSE)</f>
        <v>0</v>
      </c>
      <c r="R124" s="5">
        <f>IFERROR(VLOOKUP(U14Mcombined[[#This Row],[Card]],results0124[],3,FALSE),999)</f>
        <v>999</v>
      </c>
      <c r="S124" s="5">
        <f>IFERROR(VLOOKUP(U14Mcombined[[#This Row],[Card]],results0140[],3,FALSE),999)</f>
        <v>999</v>
      </c>
      <c r="T124" s="5">
        <f>IFERROR(VLOOKUP(U14Mcombined[[#This Row],[Card]],results0125[],3,FALSE),999)</f>
        <v>999</v>
      </c>
      <c r="U124" s="5">
        <f>VLOOKUP(U14Mcombined[[#This Row],[pos0124]],pointstable[],2,FALSE)</f>
        <v>0</v>
      </c>
      <c r="V124" s="5">
        <f>VLOOKUP(U14Mcombined[[#This Row],[pos0140]],pointstable[],2,FALSE)</f>
        <v>0</v>
      </c>
      <c r="W124" s="5">
        <f>VLOOKUP(U14Mcombined[[#This Row],[pos0125]],pointstable[],2,FALSE)</f>
        <v>0</v>
      </c>
    </row>
  </sheetData>
  <mergeCells count="5">
    <mergeCell ref="L1:M1"/>
    <mergeCell ref="H1:I1"/>
    <mergeCell ref="J1:K1"/>
    <mergeCell ref="N1:O1"/>
    <mergeCell ref="P1:Q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4"/>
  <sheetViews>
    <sheetView workbookViewId="0">
      <selection activeCell="E5" sqref="E5"/>
    </sheetView>
  </sheetViews>
  <sheetFormatPr defaultRowHeight="15" x14ac:dyDescent="0.25"/>
  <cols>
    <col min="2" max="2" width="22.7109375" bestFit="1" customWidth="1"/>
    <col min="3" max="3" width="6.28515625" customWidth="1"/>
    <col min="4" max="4" width="7" bestFit="1" customWidth="1"/>
    <col min="5" max="5" width="9.7109375" bestFit="1" customWidth="1"/>
    <col min="6" max="6" width="12.5703125" bestFit="1" customWidth="1"/>
  </cols>
  <sheetData>
    <row r="1" spans="1:28" ht="14.45" x14ac:dyDescent="0.3">
      <c r="G1" s="39" t="s">
        <v>472</v>
      </c>
      <c r="H1" s="39"/>
      <c r="I1" s="39"/>
      <c r="J1" s="39"/>
      <c r="K1" s="39" t="s">
        <v>475</v>
      </c>
      <c r="L1" s="39"/>
      <c r="M1" s="39"/>
      <c r="N1" s="39"/>
      <c r="O1" s="39" t="s">
        <v>541</v>
      </c>
      <c r="P1" s="39"/>
      <c r="Q1" s="39" t="s">
        <v>720</v>
      </c>
      <c r="R1" s="39"/>
      <c r="S1" s="39"/>
      <c r="T1" s="39"/>
      <c r="U1" s="39" t="s">
        <v>810</v>
      </c>
      <c r="V1" s="39"/>
      <c r="W1" s="39"/>
      <c r="X1" s="39"/>
      <c r="Y1" s="39" t="s">
        <v>879</v>
      </c>
      <c r="Z1" s="39"/>
      <c r="AA1" s="39"/>
      <c r="AB1" s="39"/>
    </row>
    <row r="2" spans="1:28" ht="14.45" x14ac:dyDescent="0.3">
      <c r="G2" s="4" t="s">
        <v>609</v>
      </c>
      <c r="H2" s="4" t="s">
        <v>610</v>
      </c>
      <c r="I2" s="4" t="s">
        <v>611</v>
      </c>
      <c r="J2" s="4" t="s">
        <v>612</v>
      </c>
      <c r="K2" s="4" t="s">
        <v>609</v>
      </c>
      <c r="L2" s="4" t="s">
        <v>610</v>
      </c>
      <c r="M2" s="4" t="s">
        <v>611</v>
      </c>
      <c r="N2" s="4" t="s">
        <v>612</v>
      </c>
      <c r="O2" s="4" t="s">
        <v>728</v>
      </c>
      <c r="P2" s="4" t="s">
        <v>229</v>
      </c>
      <c r="Q2" s="4" t="s">
        <v>609</v>
      </c>
      <c r="R2" s="4" t="s">
        <v>610</v>
      </c>
      <c r="S2" s="4" t="s">
        <v>611</v>
      </c>
      <c r="T2" s="4" t="s">
        <v>612</v>
      </c>
      <c r="U2" s="4" t="s">
        <v>609</v>
      </c>
      <c r="V2" s="4" t="s">
        <v>610</v>
      </c>
      <c r="W2" s="4" t="s">
        <v>611</v>
      </c>
      <c r="X2" s="4" t="s">
        <v>612</v>
      </c>
      <c r="Y2" s="4" t="s">
        <v>609</v>
      </c>
      <c r="Z2" s="4" t="s">
        <v>610</v>
      </c>
      <c r="AA2" s="4" t="s">
        <v>611</v>
      </c>
      <c r="AB2" s="4" t="s">
        <v>612</v>
      </c>
    </row>
    <row r="3" spans="1:28" ht="14.45" x14ac:dyDescent="0.3">
      <c r="A3" t="s">
        <v>3</v>
      </c>
      <c r="B3" t="s">
        <v>4</v>
      </c>
      <c r="C3" t="s">
        <v>7</v>
      </c>
      <c r="D3" t="s">
        <v>5</v>
      </c>
      <c r="E3" t="s">
        <v>607</v>
      </c>
      <c r="F3" t="s">
        <v>729</v>
      </c>
      <c r="G3" s="33" t="s">
        <v>613</v>
      </c>
      <c r="H3" s="33" t="s">
        <v>614</v>
      </c>
      <c r="I3" s="33" t="s">
        <v>616</v>
      </c>
      <c r="J3" s="33" t="s">
        <v>615</v>
      </c>
      <c r="K3" s="33" t="s">
        <v>617</v>
      </c>
      <c r="L3" s="33" t="s">
        <v>618</v>
      </c>
      <c r="M3" s="33" t="s">
        <v>619</v>
      </c>
      <c r="N3" s="33" t="s">
        <v>620</v>
      </c>
      <c r="O3" s="33" t="s">
        <v>603</v>
      </c>
      <c r="P3" s="33" t="s">
        <v>604</v>
      </c>
      <c r="Q3" s="3" t="s">
        <v>721</v>
      </c>
      <c r="R3" s="3" t="s">
        <v>722</v>
      </c>
      <c r="S3" s="3" t="s">
        <v>723</v>
      </c>
      <c r="T3" s="3" t="s">
        <v>724</v>
      </c>
      <c r="U3" s="3" t="s">
        <v>813</v>
      </c>
      <c r="V3" s="3" t="s">
        <v>814</v>
      </c>
      <c r="W3" s="3" t="s">
        <v>815</v>
      </c>
      <c r="X3" s="3" t="s">
        <v>816</v>
      </c>
      <c r="Y3" s="33" t="s">
        <v>882</v>
      </c>
      <c r="Z3" s="33" t="s">
        <v>883</v>
      </c>
      <c r="AA3" s="33" t="s">
        <v>884</v>
      </c>
      <c r="AB3" s="33" t="s">
        <v>885</v>
      </c>
    </row>
    <row r="4" spans="1:28" ht="14.45" x14ac:dyDescent="0.3">
      <c r="A4">
        <v>78517</v>
      </c>
      <c r="B4" t="s">
        <v>14</v>
      </c>
      <c r="C4" t="s">
        <v>15</v>
      </c>
      <c r="D4">
        <v>4</v>
      </c>
      <c r="E4" s="5">
        <f>MAX(U14Mruns[[#This Row],[pts1.0119]],U14Mruns[[#This Row],[pts2.0119]],U14Mruns[[#This Row],[pts1.0118]],U14Mruns[[#This Row],[pts2.0118]],U14Mruns[[#This Row],[pts1.0120]],U14Mruns[[#This Row],[pts2.0120]])</f>
        <v>500</v>
      </c>
      <c r="F4" s="5">
        <f>MAX(U14Mruns[[#This Row],[pts1.0117]],U14Mruns[[#This Row],[pts2.0117]],U14Mruns[[#This Row],[pts0121]],U14Mruns[[#This Row],[pts1.0123]],U14Mruns[[#This Row],[pts2.0123]])</f>
        <v>500</v>
      </c>
      <c r="G4" s="5">
        <f>IFERROR(VLOOKUP(U14Mruns[[#This Row],[Card]],results0117[],4,FALSE),999)</f>
        <v>999</v>
      </c>
      <c r="H4" s="5">
        <f>VLOOKUP(U14Mruns[[#This Row],[pos1.0117]],pointstable[],2,FALSE)</f>
        <v>0</v>
      </c>
      <c r="I4" s="5">
        <f>IFERROR(VLOOKUP(U14Mruns[[#This Row],[Card]],results0117[],5,FALSE),999)</f>
        <v>1</v>
      </c>
      <c r="J4" s="5">
        <f>VLOOKUP(U14Mruns[[#This Row],[pos2.0117]],pointstable[],2,FALSE)</f>
        <v>500</v>
      </c>
      <c r="K4" s="5">
        <f>IFERROR(VLOOKUP(U14Mruns[[#This Row],[Card]],results0119[],4,FALSE),999)</f>
        <v>2</v>
      </c>
      <c r="L4" s="5">
        <f>VLOOKUP(U14Mruns[[#This Row],[pos1.0119]],pointstable[],2,FALSE)</f>
        <v>400</v>
      </c>
      <c r="M4" s="5">
        <f>IFERROR(VLOOKUP(U14Mruns[[#This Row],[Card]],results0119[],5,FALSE),999)</f>
        <v>1</v>
      </c>
      <c r="N4" s="5">
        <f>VLOOKUP(U14Mruns[[#This Row],[pos2.0119]],pointstable[],2,FALSE)</f>
        <v>500</v>
      </c>
      <c r="O4" s="5">
        <f>IFERROR(VLOOKUP(U14Mruns[[#This Row],[Card]],results0121[],3,FALSE),999)</f>
        <v>1</v>
      </c>
      <c r="P4" s="5">
        <f>VLOOKUP(U14Mruns[[#This Row],[pos0121]],pointstable[],2,FALSE)</f>
        <v>500</v>
      </c>
      <c r="Q4" s="5">
        <f>IFERROR(VLOOKUP(U14Mruns[[#This Row],[Card]],results0118[],4,FALSE),999)</f>
        <v>999</v>
      </c>
      <c r="R4" s="5">
        <f>VLOOKUP(U14Mruns[[#This Row],[pos1.0118]],pointstable[],2,FALSE)</f>
        <v>0</v>
      </c>
      <c r="S4" s="5">
        <f>IFERROR(VLOOKUP(U14Mruns[[#This Row],[Card]],results0118[],5,FALSE),999)</f>
        <v>1</v>
      </c>
      <c r="T4" s="5">
        <f>VLOOKUP(U14Mruns[[#This Row],[pos2.0118]],pointstable[],2,FALSE)</f>
        <v>500</v>
      </c>
      <c r="U4" s="5">
        <f>IFERROR(VLOOKUP(U14Mruns[[#This Row],[Card]],results0123[],4,FALSE),999)</f>
        <v>2</v>
      </c>
      <c r="V4" s="5">
        <f>VLOOKUP(U14Mruns[[#This Row],[pos1.0123]],pointstable[],2,FALSE)</f>
        <v>400</v>
      </c>
      <c r="W4" s="5">
        <f>IFERROR(VLOOKUP(U14Mruns[[#This Row],[Card]],results0123[],5,FALSE),999)</f>
        <v>4</v>
      </c>
      <c r="X4" s="5">
        <f>VLOOKUP(U14Mruns[[#This Row],[pos2.0123]],pointstable[],2,FALSE)</f>
        <v>250</v>
      </c>
      <c r="Y4" s="5">
        <f>IFERROR(VLOOKUP(U14Mruns[[#This Row],[Card]],results0120[],4,FALSE),999)</f>
        <v>4</v>
      </c>
      <c r="Z4" s="5">
        <f>VLOOKUP(U14Mruns[[#This Row],[pos1.0120]],pointstable[],2,FALSE)</f>
        <v>250</v>
      </c>
      <c r="AA4" s="5">
        <f>IFERROR(VLOOKUP(U14Mruns[[#This Row],[Card]],results0120[],5,FALSE),999)</f>
        <v>4</v>
      </c>
      <c r="AB4" s="5">
        <f>VLOOKUP(U14Mruns[[#This Row],[pos2.0120]],pointstable[],2,FALSE)</f>
        <v>250</v>
      </c>
    </row>
    <row r="5" spans="1:28" ht="14.45" x14ac:dyDescent="0.3">
      <c r="A5">
        <v>80680</v>
      </c>
      <c r="B5" t="s">
        <v>28</v>
      </c>
      <c r="C5" t="s">
        <v>15</v>
      </c>
      <c r="D5">
        <v>4</v>
      </c>
      <c r="E5" s="5">
        <f>MAX(U14Mruns[[#This Row],[pts1.0119]],U14Mruns[[#This Row],[pts2.0119]],U14Mruns[[#This Row],[pts1.0118]],U14Mruns[[#This Row],[pts2.0118]],U14Mruns[[#This Row],[pts1.0120]],U14Mruns[[#This Row],[pts2.0120]])</f>
        <v>400</v>
      </c>
      <c r="F5" s="5">
        <f>MAX(U14Mruns[[#This Row],[pts1.0117]],U14Mruns[[#This Row],[pts2.0117]],U14Mruns[[#This Row],[pts0121]],U14Mruns[[#This Row],[pts1.0123]],U14Mruns[[#This Row],[pts2.0123]])</f>
        <v>500</v>
      </c>
      <c r="G5" s="5">
        <f>IFERROR(VLOOKUP(U14Mruns[[#This Row],[Card]],results0117[],4,FALSE),999)</f>
        <v>1</v>
      </c>
      <c r="H5" s="5">
        <f>VLOOKUP(U14Mruns[[#This Row],[pos1.0117]],pointstable[],2,FALSE)</f>
        <v>500</v>
      </c>
      <c r="I5" s="5">
        <f>IFERROR(VLOOKUP(U14Mruns[[#This Row],[Card]],results0117[],5,FALSE),999)</f>
        <v>6</v>
      </c>
      <c r="J5" s="5">
        <f>VLOOKUP(U14Mruns[[#This Row],[pos2.0117]],pointstable[],2,FALSE)</f>
        <v>200</v>
      </c>
      <c r="K5" s="5">
        <f>IFERROR(VLOOKUP(U14Mruns[[#This Row],[Card]],results0119[],4,FALSE),999)</f>
        <v>999</v>
      </c>
      <c r="L5" s="5">
        <f>VLOOKUP(U14Mruns[[#This Row],[pos1.0119]],pointstable[],2,FALSE)</f>
        <v>0</v>
      </c>
      <c r="M5" s="5">
        <f>IFERROR(VLOOKUP(U14Mruns[[#This Row],[Card]],results0119[],5,FALSE),999)</f>
        <v>10</v>
      </c>
      <c r="N5" s="5">
        <f>VLOOKUP(U14Mruns[[#This Row],[pos2.0119]],pointstable[],2,FALSE)</f>
        <v>130</v>
      </c>
      <c r="O5" s="5">
        <f>IFERROR(VLOOKUP(U14Mruns[[#This Row],[Card]],results0121[],3,FALSE),999)</f>
        <v>9</v>
      </c>
      <c r="P5" s="5">
        <f>VLOOKUP(U14Mruns[[#This Row],[pos0121]],pointstable[],2,FALSE)</f>
        <v>145</v>
      </c>
      <c r="Q5" s="5">
        <f>IFERROR(VLOOKUP(U14Mruns[[#This Row],[Card]],results0118[],4,FALSE),999)</f>
        <v>2</v>
      </c>
      <c r="R5" s="5">
        <f>VLOOKUP(U14Mruns[[#This Row],[pos1.0118]],pointstable[],2,FALSE)</f>
        <v>400</v>
      </c>
      <c r="S5" s="5">
        <f>IFERROR(VLOOKUP(U14Mruns[[#This Row],[Card]],results0118[],5,FALSE),999)</f>
        <v>3</v>
      </c>
      <c r="T5" s="5">
        <f>VLOOKUP(U14Mruns[[#This Row],[pos2.0118]],pointstable[],2,FALSE)</f>
        <v>300</v>
      </c>
      <c r="U5" s="5">
        <f>IFERROR(VLOOKUP(U14Mruns[[#This Row],[Card]],results0123[],4,FALSE),999)</f>
        <v>1</v>
      </c>
      <c r="V5" s="5">
        <f>VLOOKUP(U14Mruns[[#This Row],[pos1.0123]],pointstable[],2,FALSE)</f>
        <v>500</v>
      </c>
      <c r="W5" s="5">
        <f>IFERROR(VLOOKUP(U14Mruns[[#This Row],[Card]],results0123[],5,FALSE),999)</f>
        <v>6</v>
      </c>
      <c r="X5" s="5">
        <f>VLOOKUP(U14Mruns[[#This Row],[pos2.0123]],pointstable[],2,FALSE)</f>
        <v>200</v>
      </c>
      <c r="Y5" s="5">
        <f>IFERROR(VLOOKUP(U14Mruns[[#This Row],[Card]],results0120[],4,FALSE),999)</f>
        <v>2</v>
      </c>
      <c r="Z5" s="5">
        <f>VLOOKUP(U14Mruns[[#This Row],[pos1.0120]],pointstable[],2,FALSE)</f>
        <v>400</v>
      </c>
      <c r="AA5" s="5">
        <f>IFERROR(VLOOKUP(U14Mruns[[#This Row],[Card]],results0120[],5,FALSE),999)</f>
        <v>2</v>
      </c>
      <c r="AB5" s="5">
        <f>VLOOKUP(U14Mruns[[#This Row],[pos2.0120]],pointstable[],2,FALSE)</f>
        <v>400</v>
      </c>
    </row>
    <row r="6" spans="1:28" ht="14.45" x14ac:dyDescent="0.3">
      <c r="A6">
        <v>81073</v>
      </c>
      <c r="B6" t="s">
        <v>40</v>
      </c>
      <c r="C6" t="s">
        <v>15</v>
      </c>
      <c r="D6">
        <v>4</v>
      </c>
      <c r="E6" s="5">
        <f>MAX(U14Mruns[[#This Row],[pts1.0119]],U14Mruns[[#This Row],[pts2.0119]],U14Mruns[[#This Row],[pts1.0118]],U14Mruns[[#This Row],[pts2.0118]],U14Mruns[[#This Row],[pts1.0120]],U14Mruns[[#This Row],[pts2.0120]])</f>
        <v>500</v>
      </c>
      <c r="F6" s="5">
        <f>MAX(U14Mruns[[#This Row],[pts1.0117]],U14Mruns[[#This Row],[pts2.0117]],U14Mruns[[#This Row],[pts0121]],U14Mruns[[#This Row],[pts1.0123]],U14Mruns[[#This Row],[pts2.0123]])</f>
        <v>400</v>
      </c>
      <c r="G6" s="5">
        <f>IFERROR(VLOOKUP(U14Mruns[[#This Row],[Card]],results0117[],4,FALSE),999)</f>
        <v>2</v>
      </c>
      <c r="H6" s="5">
        <f>VLOOKUP(U14Mruns[[#This Row],[pos1.0117]],pointstable[],2,FALSE)</f>
        <v>400</v>
      </c>
      <c r="I6" s="5">
        <f>IFERROR(VLOOKUP(U14Mruns[[#This Row],[Card]],results0117[],5,FALSE),999)</f>
        <v>5</v>
      </c>
      <c r="J6" s="5">
        <f>VLOOKUP(U14Mruns[[#This Row],[pos2.0117]],pointstable[],2,FALSE)</f>
        <v>225</v>
      </c>
      <c r="K6" s="5">
        <f>IFERROR(VLOOKUP(U14Mruns[[#This Row],[Card]],results0119[],4,FALSE),999)</f>
        <v>5</v>
      </c>
      <c r="L6" s="5">
        <f>VLOOKUP(U14Mruns[[#This Row],[pos1.0119]],pointstable[],2,FALSE)</f>
        <v>225</v>
      </c>
      <c r="M6" s="5">
        <f>IFERROR(VLOOKUP(U14Mruns[[#This Row],[Card]],results0119[],5,FALSE),999)</f>
        <v>5</v>
      </c>
      <c r="N6" s="5">
        <f>VLOOKUP(U14Mruns[[#This Row],[pos2.0119]],pointstable[],2,FALSE)</f>
        <v>225</v>
      </c>
      <c r="O6" s="5">
        <f>IFERROR(VLOOKUP(U14Mruns[[#This Row],[Card]],results0121[],3,FALSE),999)</f>
        <v>2</v>
      </c>
      <c r="P6" s="5">
        <f>VLOOKUP(U14Mruns[[#This Row],[pos0121]],pointstable[],2,FALSE)</f>
        <v>400</v>
      </c>
      <c r="Q6" s="5">
        <f>IFERROR(VLOOKUP(U14Mruns[[#This Row],[Card]],results0118[],4,FALSE),999)</f>
        <v>1</v>
      </c>
      <c r="R6" s="5">
        <f>VLOOKUP(U14Mruns[[#This Row],[pos1.0118]],pointstable[],2,FALSE)</f>
        <v>500</v>
      </c>
      <c r="S6" s="5">
        <f>IFERROR(VLOOKUP(U14Mruns[[#This Row],[Card]],results0118[],5,FALSE),999)</f>
        <v>9</v>
      </c>
      <c r="T6" s="5">
        <f>VLOOKUP(U14Mruns[[#This Row],[pos2.0118]],pointstable[],2,FALSE)</f>
        <v>145</v>
      </c>
      <c r="U6" s="5">
        <f>IFERROR(VLOOKUP(U14Mruns[[#This Row],[Card]],results0123[],4,FALSE),999)</f>
        <v>10</v>
      </c>
      <c r="V6" s="5">
        <f>VLOOKUP(U14Mruns[[#This Row],[pos1.0123]],pointstable[],2,FALSE)</f>
        <v>130</v>
      </c>
      <c r="W6" s="5">
        <f>IFERROR(VLOOKUP(U14Mruns[[#This Row],[Card]],results0123[],5,FALSE),999)</f>
        <v>5</v>
      </c>
      <c r="X6" s="5">
        <f>VLOOKUP(U14Mruns[[#This Row],[pos2.0123]],pointstable[],2,FALSE)</f>
        <v>225</v>
      </c>
      <c r="Y6" s="5">
        <f>IFERROR(VLOOKUP(U14Mruns[[#This Row],[Card]],results0120[],4,FALSE),999)</f>
        <v>1</v>
      </c>
      <c r="Z6" s="5">
        <f>VLOOKUP(U14Mruns[[#This Row],[pos1.0120]],pointstable[],2,FALSE)</f>
        <v>500</v>
      </c>
      <c r="AA6" s="5">
        <f>IFERROR(VLOOKUP(U14Mruns[[#This Row],[Card]],results0120[],5,FALSE),999)</f>
        <v>7</v>
      </c>
      <c r="AB6" s="5">
        <f>VLOOKUP(U14Mruns[[#This Row],[pos2.0120]],pointstable[],2,FALSE)</f>
        <v>180</v>
      </c>
    </row>
    <row r="7" spans="1:28" ht="14.45" x14ac:dyDescent="0.3">
      <c r="A7">
        <v>80722</v>
      </c>
      <c r="B7" t="s">
        <v>33</v>
      </c>
      <c r="C7" t="s">
        <v>22</v>
      </c>
      <c r="D7">
        <v>4</v>
      </c>
      <c r="E7" s="5">
        <f>MAX(U14Mruns[[#This Row],[pts1.0119]],U14Mruns[[#This Row],[pts2.0119]],U14Mruns[[#This Row],[pts1.0118]],U14Mruns[[#This Row],[pts2.0118]],U14Mruns[[#This Row],[pts1.0120]],U14Mruns[[#This Row],[pts2.0120]])</f>
        <v>90</v>
      </c>
      <c r="F7" s="5">
        <f>MAX(U14Mruns[[#This Row],[pts1.0117]],U14Mruns[[#This Row],[pts2.0117]],U14Mruns[[#This Row],[pts0121]],U14Mruns[[#This Row],[pts1.0123]],U14Mruns[[#This Row],[pts2.0123]])</f>
        <v>400</v>
      </c>
      <c r="G7" s="5">
        <f>IFERROR(VLOOKUP(U14Mruns[[#This Row],[Card]],results0117[],4,FALSE),999)</f>
        <v>9</v>
      </c>
      <c r="H7" s="5">
        <f>VLOOKUP(U14Mruns[[#This Row],[pos1.0117]],pointstable[],2,FALSE)</f>
        <v>145</v>
      </c>
      <c r="I7" s="5">
        <f>IFERROR(VLOOKUP(U14Mruns[[#This Row],[Card]],results0117[],5,FALSE),999)</f>
        <v>2</v>
      </c>
      <c r="J7" s="5">
        <f>VLOOKUP(U14Mruns[[#This Row],[pos2.0117]],pointstable[],2,FALSE)</f>
        <v>400</v>
      </c>
      <c r="K7" s="5">
        <f>IFERROR(VLOOKUP(U14Mruns[[#This Row],[Card]],results0119[],4,FALSE),999)</f>
        <v>999</v>
      </c>
      <c r="L7" s="5">
        <f>VLOOKUP(U14Mruns[[#This Row],[pos1.0119]],pointstable[],2,FALSE)</f>
        <v>0</v>
      </c>
      <c r="M7" s="5">
        <f>IFERROR(VLOOKUP(U14Mruns[[#This Row],[Card]],results0119[],5,FALSE),999)</f>
        <v>14</v>
      </c>
      <c r="N7" s="5">
        <f>VLOOKUP(U14Mruns[[#This Row],[pos2.0119]],pointstable[],2,FALSE)</f>
        <v>90</v>
      </c>
      <c r="O7" s="5">
        <f>IFERROR(VLOOKUP(U14Mruns[[#This Row],[Card]],results0121[],3,FALSE),999)</f>
        <v>999</v>
      </c>
      <c r="P7" s="5">
        <f>VLOOKUP(U14Mruns[[#This Row],[pos0121]],pointstable[],2,FALSE)</f>
        <v>0</v>
      </c>
      <c r="Q7" s="5">
        <f>IFERROR(VLOOKUP(U14Mruns[[#This Row],[Card]],results0118[],4,FALSE),999)</f>
        <v>38</v>
      </c>
      <c r="R7" s="5">
        <f>VLOOKUP(U14Mruns[[#This Row],[pos1.0118]],pointstable[],2,FALSE)</f>
        <v>22</v>
      </c>
      <c r="S7" s="5">
        <f>IFERROR(VLOOKUP(U14Mruns[[#This Row],[Card]],results0118[],5,FALSE),999)</f>
        <v>15</v>
      </c>
      <c r="T7" s="5">
        <f>VLOOKUP(U14Mruns[[#This Row],[pos2.0118]],pointstable[],2,FALSE)</f>
        <v>80</v>
      </c>
      <c r="U7" s="5">
        <f>IFERROR(VLOOKUP(U14Mruns[[#This Row],[Card]],results0123[],4,FALSE),999)</f>
        <v>13</v>
      </c>
      <c r="V7" s="5">
        <f>VLOOKUP(U14Mruns[[#This Row],[pos1.0123]],pointstable[],2,FALSE)</f>
        <v>100</v>
      </c>
      <c r="W7" s="5">
        <f>IFERROR(VLOOKUP(U14Mruns[[#This Row],[Card]],results0123[],5,FALSE),999)</f>
        <v>9</v>
      </c>
      <c r="X7" s="5">
        <f>VLOOKUP(U14Mruns[[#This Row],[pos2.0123]],pointstable[],2,FALSE)</f>
        <v>145</v>
      </c>
      <c r="Y7" s="5">
        <f>IFERROR(VLOOKUP(U14Mruns[[#This Row],[Card]],results0120[],4,FALSE),999)</f>
        <v>16</v>
      </c>
      <c r="Z7" s="5">
        <f>VLOOKUP(U14Mruns[[#This Row],[pos1.0120]],pointstable[],2,FALSE)</f>
        <v>75</v>
      </c>
      <c r="AA7" s="5">
        <f>IFERROR(VLOOKUP(U14Mruns[[#This Row],[Card]],results0120[],5,FALSE),999)</f>
        <v>41</v>
      </c>
      <c r="AB7" s="5">
        <f>VLOOKUP(U14Mruns[[#This Row],[pos2.0120]],pointstable[],2,FALSE)</f>
        <v>19</v>
      </c>
    </row>
    <row r="8" spans="1:28" ht="14.45" x14ac:dyDescent="0.3">
      <c r="A8">
        <v>80709</v>
      </c>
      <c r="B8" t="s">
        <v>24</v>
      </c>
      <c r="C8" t="s">
        <v>22</v>
      </c>
      <c r="D8">
        <v>5</v>
      </c>
      <c r="E8" s="5">
        <f>MAX(U14Mruns[[#This Row],[pts1.0119]],U14Mruns[[#This Row],[pts2.0119]],U14Mruns[[#This Row],[pts1.0118]],U14Mruns[[#This Row],[pts2.0118]],U14Mruns[[#This Row],[pts1.0120]],U14Mruns[[#This Row],[pts2.0120]])</f>
        <v>300</v>
      </c>
      <c r="F8" s="5">
        <f>MAX(U14Mruns[[#This Row],[pts1.0117]],U14Mruns[[#This Row],[pts2.0117]],U14Mruns[[#This Row],[pts0121]],U14Mruns[[#This Row],[pts1.0123]],U14Mruns[[#This Row],[pts2.0123]])</f>
        <v>300</v>
      </c>
      <c r="G8" s="5">
        <f>IFERROR(VLOOKUP(U14Mruns[[#This Row],[Card]],results0117[],4,FALSE),999)</f>
        <v>3</v>
      </c>
      <c r="H8" s="5">
        <f>VLOOKUP(U14Mruns[[#This Row],[pos1.0117]],pointstable[],2,FALSE)</f>
        <v>300</v>
      </c>
      <c r="I8" s="5">
        <f>IFERROR(VLOOKUP(U14Mruns[[#This Row],[Card]],results0117[],5,FALSE),999)</f>
        <v>8</v>
      </c>
      <c r="J8" s="5">
        <f>VLOOKUP(U14Mruns[[#This Row],[pos2.0117]],pointstable[],2,FALSE)</f>
        <v>160</v>
      </c>
      <c r="K8" s="5">
        <f>IFERROR(VLOOKUP(U14Mruns[[#This Row],[Card]],results0119[],4,FALSE),999)</f>
        <v>999</v>
      </c>
      <c r="L8" s="5">
        <f>VLOOKUP(U14Mruns[[#This Row],[pos1.0119]],pointstable[],2,FALSE)</f>
        <v>0</v>
      </c>
      <c r="M8" s="5">
        <f>IFERROR(VLOOKUP(U14Mruns[[#This Row],[Card]],results0119[],5,FALSE),999)</f>
        <v>3</v>
      </c>
      <c r="N8" s="5">
        <f>VLOOKUP(U14Mruns[[#This Row],[pos2.0119]],pointstable[],2,FALSE)</f>
        <v>300</v>
      </c>
      <c r="O8" s="5">
        <f>IFERROR(VLOOKUP(U14Mruns[[#This Row],[Card]],results0121[],3,FALSE),999)</f>
        <v>5</v>
      </c>
      <c r="P8" s="5">
        <f>VLOOKUP(U14Mruns[[#This Row],[pos0121]],pointstable[],2,FALSE)</f>
        <v>225</v>
      </c>
      <c r="Q8" s="5">
        <f>IFERROR(VLOOKUP(U14Mruns[[#This Row],[Card]],results0118[],4,FALSE),999)</f>
        <v>14</v>
      </c>
      <c r="R8" s="5">
        <f>VLOOKUP(U14Mruns[[#This Row],[pos1.0118]],pointstable[],2,FALSE)</f>
        <v>90</v>
      </c>
      <c r="S8" s="5">
        <f>IFERROR(VLOOKUP(U14Mruns[[#This Row],[Card]],results0118[],5,FALSE),999)</f>
        <v>11</v>
      </c>
      <c r="T8" s="5">
        <f>VLOOKUP(U14Mruns[[#This Row],[pos2.0118]],pointstable[],2,FALSE)</f>
        <v>120</v>
      </c>
      <c r="U8" s="5">
        <f>IFERROR(VLOOKUP(U14Mruns[[#This Row],[Card]],results0123[],4,FALSE),999)</f>
        <v>16</v>
      </c>
      <c r="V8" s="5">
        <f>VLOOKUP(U14Mruns[[#This Row],[pos1.0123]],pointstable[],2,FALSE)</f>
        <v>75</v>
      </c>
      <c r="W8" s="5">
        <f>IFERROR(VLOOKUP(U14Mruns[[#This Row],[Card]],results0123[],5,FALSE),999)</f>
        <v>999</v>
      </c>
      <c r="X8" s="5">
        <f>VLOOKUP(U14Mruns[[#This Row],[pos2.0123]],pointstable[],2,FALSE)</f>
        <v>0</v>
      </c>
      <c r="Y8" s="5">
        <f>IFERROR(VLOOKUP(U14Mruns[[#This Row],[Card]],results0120[],4,FALSE),999)</f>
        <v>6</v>
      </c>
      <c r="Z8" s="5">
        <f>VLOOKUP(U14Mruns[[#This Row],[pos1.0120]],pointstable[],2,FALSE)</f>
        <v>200</v>
      </c>
      <c r="AA8" s="5">
        <f>IFERROR(VLOOKUP(U14Mruns[[#This Row],[Card]],results0120[],5,FALSE),999)</f>
        <v>10</v>
      </c>
      <c r="AB8" s="5">
        <f>VLOOKUP(U14Mruns[[#This Row],[pos2.0120]],pointstable[],2,FALSE)</f>
        <v>130</v>
      </c>
    </row>
    <row r="9" spans="1:28" ht="14.45" x14ac:dyDescent="0.3">
      <c r="A9">
        <v>82431</v>
      </c>
      <c r="B9" t="s">
        <v>41</v>
      </c>
      <c r="C9" t="s">
        <v>42</v>
      </c>
      <c r="D9">
        <v>4</v>
      </c>
      <c r="E9" s="5">
        <f>MAX(U14Mruns[[#This Row],[pts1.0119]],U14Mruns[[#This Row],[pts2.0119]],U14Mruns[[#This Row],[pts1.0118]],U14Mruns[[#This Row],[pts2.0118]],U14Mruns[[#This Row],[pts1.0120]],U14Mruns[[#This Row],[pts2.0120]])</f>
        <v>250</v>
      </c>
      <c r="F9" s="5">
        <f>MAX(U14Mruns[[#This Row],[pts1.0117]],U14Mruns[[#This Row],[pts2.0117]],U14Mruns[[#This Row],[pts0121]],U14Mruns[[#This Row],[pts1.0123]],U14Mruns[[#This Row],[pts2.0123]])</f>
        <v>300</v>
      </c>
      <c r="G9" s="5">
        <f>IFERROR(VLOOKUP(U14Mruns[[#This Row],[Card]],results0117[],4,FALSE),999)</f>
        <v>6</v>
      </c>
      <c r="H9" s="5">
        <f>VLOOKUP(U14Mruns[[#This Row],[pos1.0117]],pointstable[],2,FALSE)</f>
        <v>200</v>
      </c>
      <c r="I9" s="5">
        <f>IFERROR(VLOOKUP(U14Mruns[[#This Row],[Card]],results0117[],5,FALSE),999)</f>
        <v>15</v>
      </c>
      <c r="J9" s="5">
        <f>VLOOKUP(U14Mruns[[#This Row],[pos2.0117]],pointstable[],2,FALSE)</f>
        <v>80</v>
      </c>
      <c r="K9" s="5">
        <f>IFERROR(VLOOKUP(U14Mruns[[#This Row],[Card]],results0119[],4,FALSE),999)</f>
        <v>4</v>
      </c>
      <c r="L9" s="5">
        <f>VLOOKUP(U14Mruns[[#This Row],[pos1.0119]],pointstable[],2,FALSE)</f>
        <v>250</v>
      </c>
      <c r="M9" s="5">
        <f>IFERROR(VLOOKUP(U14Mruns[[#This Row],[Card]],results0119[],5,FALSE),999)</f>
        <v>4</v>
      </c>
      <c r="N9" s="5">
        <f>VLOOKUP(U14Mruns[[#This Row],[pos2.0119]],pointstable[],2,FALSE)</f>
        <v>250</v>
      </c>
      <c r="O9" s="5">
        <f>IFERROR(VLOOKUP(U14Mruns[[#This Row],[Card]],results0121[],3,FALSE),999)</f>
        <v>3</v>
      </c>
      <c r="P9" s="5">
        <f>VLOOKUP(U14Mruns[[#This Row],[pos0121]],pointstable[],2,FALSE)</f>
        <v>300</v>
      </c>
      <c r="Q9" s="5">
        <f>IFERROR(VLOOKUP(U14Mruns[[#This Row],[Card]],results0118[],4,FALSE),999)</f>
        <v>23</v>
      </c>
      <c r="R9" s="5">
        <f>VLOOKUP(U14Mruns[[#This Row],[pos1.0118]],pointstable[],2,FALSE)</f>
        <v>44</v>
      </c>
      <c r="S9" s="5">
        <f>IFERROR(VLOOKUP(U14Mruns[[#This Row],[Card]],results0118[],5,FALSE),999)</f>
        <v>18</v>
      </c>
      <c r="T9" s="5">
        <f>VLOOKUP(U14Mruns[[#This Row],[pos2.0118]],pointstable[],2,FALSE)</f>
        <v>65</v>
      </c>
      <c r="U9" s="5">
        <f>IFERROR(VLOOKUP(U14Mruns[[#This Row],[Card]],results0123[],4,FALSE),999)</f>
        <v>32</v>
      </c>
      <c r="V9" s="5">
        <f>VLOOKUP(U14Mruns[[#This Row],[pos1.0123]],pointstable[],2,FALSE)</f>
        <v>28</v>
      </c>
      <c r="W9" s="5">
        <f>IFERROR(VLOOKUP(U14Mruns[[#This Row],[Card]],results0123[],5,FALSE),999)</f>
        <v>31</v>
      </c>
      <c r="X9" s="5">
        <f>VLOOKUP(U14Mruns[[#This Row],[pos2.0123]],pointstable[],2,FALSE)</f>
        <v>29</v>
      </c>
      <c r="Y9" s="5">
        <f>IFERROR(VLOOKUP(U14Mruns[[#This Row],[Card]],results0120[],4,FALSE),999)</f>
        <v>999</v>
      </c>
      <c r="Z9" s="5">
        <f>VLOOKUP(U14Mruns[[#This Row],[pos1.0120]],pointstable[],2,FALSE)</f>
        <v>0</v>
      </c>
      <c r="AA9" s="5">
        <f>IFERROR(VLOOKUP(U14Mruns[[#This Row],[Card]],results0120[],5,FALSE),999)</f>
        <v>999</v>
      </c>
      <c r="AB9" s="5">
        <f>VLOOKUP(U14Mruns[[#This Row],[pos2.0120]],pointstable[],2,FALSE)</f>
        <v>0</v>
      </c>
    </row>
    <row r="10" spans="1:28" ht="14.45" x14ac:dyDescent="0.3">
      <c r="A10">
        <v>80717</v>
      </c>
      <c r="B10" t="s">
        <v>26</v>
      </c>
      <c r="C10" t="s">
        <v>22</v>
      </c>
      <c r="D10">
        <v>4</v>
      </c>
      <c r="E10" s="5">
        <f>MAX(U14Mruns[[#This Row],[pts1.0119]],U14Mruns[[#This Row],[pts2.0119]],U14Mruns[[#This Row],[pts1.0118]],U14Mruns[[#This Row],[pts2.0118]],U14Mruns[[#This Row],[pts1.0120]],U14Mruns[[#This Row],[pts2.0120]])</f>
        <v>160</v>
      </c>
      <c r="F10" s="5">
        <f>MAX(U14Mruns[[#This Row],[pts1.0117]],U14Mruns[[#This Row],[pts2.0117]],U14Mruns[[#This Row],[pts0121]],U14Mruns[[#This Row],[pts1.0123]],U14Mruns[[#This Row],[pts2.0123]])</f>
        <v>300</v>
      </c>
      <c r="G10" s="5">
        <f>IFERROR(VLOOKUP(U14Mruns[[#This Row],[Card]],results0117[],4,FALSE),999)</f>
        <v>4</v>
      </c>
      <c r="H10" s="5">
        <f>VLOOKUP(U14Mruns[[#This Row],[pos1.0117]],pointstable[],2,FALSE)</f>
        <v>250</v>
      </c>
      <c r="I10" s="5">
        <f>IFERROR(VLOOKUP(U14Mruns[[#This Row],[Card]],results0117[],5,FALSE),999)</f>
        <v>3</v>
      </c>
      <c r="J10" s="5">
        <f>VLOOKUP(U14Mruns[[#This Row],[pos2.0117]],pointstable[],2,FALSE)</f>
        <v>300</v>
      </c>
      <c r="K10" s="5">
        <f>IFERROR(VLOOKUP(U14Mruns[[#This Row],[Card]],results0119[],4,FALSE),999)</f>
        <v>10</v>
      </c>
      <c r="L10" s="5">
        <f>VLOOKUP(U14Mruns[[#This Row],[pos1.0119]],pointstable[],2,FALSE)</f>
        <v>130</v>
      </c>
      <c r="M10" s="5">
        <f>IFERROR(VLOOKUP(U14Mruns[[#This Row],[Card]],results0119[],5,FALSE),999)</f>
        <v>16</v>
      </c>
      <c r="N10" s="5">
        <f>VLOOKUP(U14Mruns[[#This Row],[pos2.0119]],pointstable[],2,FALSE)</f>
        <v>75</v>
      </c>
      <c r="O10" s="5">
        <f>IFERROR(VLOOKUP(U14Mruns[[#This Row],[Card]],results0121[],3,FALSE),999)</f>
        <v>12</v>
      </c>
      <c r="P10" s="5">
        <f>VLOOKUP(U14Mruns[[#This Row],[pos0121]],pointstable[],2,FALSE)</f>
        <v>110</v>
      </c>
      <c r="Q10" s="5">
        <f>IFERROR(VLOOKUP(U14Mruns[[#This Row],[Card]],results0118[],4,FALSE),999)</f>
        <v>8</v>
      </c>
      <c r="R10" s="5">
        <f>VLOOKUP(U14Mruns[[#This Row],[pos1.0118]],pointstable[],2,FALSE)</f>
        <v>160</v>
      </c>
      <c r="S10" s="5">
        <f>IFERROR(VLOOKUP(U14Mruns[[#This Row],[Card]],results0118[],5,FALSE),999)</f>
        <v>17</v>
      </c>
      <c r="T10" s="5">
        <f>VLOOKUP(U14Mruns[[#This Row],[pos2.0118]],pointstable[],2,FALSE)</f>
        <v>70</v>
      </c>
      <c r="U10" s="5">
        <f>IFERROR(VLOOKUP(U14Mruns[[#This Row],[Card]],results0123[],4,FALSE),999)</f>
        <v>9</v>
      </c>
      <c r="V10" s="5">
        <f>VLOOKUP(U14Mruns[[#This Row],[pos1.0123]],pointstable[],2,FALSE)</f>
        <v>145</v>
      </c>
      <c r="W10" s="5">
        <f>IFERROR(VLOOKUP(U14Mruns[[#This Row],[Card]],results0123[],5,FALSE),999)</f>
        <v>3</v>
      </c>
      <c r="X10" s="5">
        <f>VLOOKUP(U14Mruns[[#This Row],[pos2.0123]],pointstable[],2,FALSE)</f>
        <v>300</v>
      </c>
      <c r="Y10" s="5">
        <f>IFERROR(VLOOKUP(U14Mruns[[#This Row],[Card]],results0120[],4,FALSE),999)</f>
        <v>15</v>
      </c>
      <c r="Z10" s="5">
        <f>VLOOKUP(U14Mruns[[#This Row],[pos1.0120]],pointstable[],2,FALSE)</f>
        <v>80</v>
      </c>
      <c r="AA10" s="5">
        <f>IFERROR(VLOOKUP(U14Mruns[[#This Row],[Card]],results0120[],5,FALSE),999)</f>
        <v>43</v>
      </c>
      <c r="AB10" s="5">
        <f>VLOOKUP(U14Mruns[[#This Row],[pos2.0120]],pointstable[],2,FALSE)</f>
        <v>17</v>
      </c>
    </row>
    <row r="11" spans="1:28" ht="14.45" x14ac:dyDescent="0.3">
      <c r="A11">
        <v>78200</v>
      </c>
      <c r="B11" t="s">
        <v>49</v>
      </c>
      <c r="C11" t="s">
        <v>31</v>
      </c>
      <c r="D11">
        <v>5</v>
      </c>
      <c r="E11" s="5">
        <f>MAX(U14Mruns[[#This Row],[pts1.0119]],U14Mruns[[#This Row],[pts2.0119]],U14Mruns[[#This Row],[pts1.0118]],U14Mruns[[#This Row],[pts2.0118]],U14Mruns[[#This Row],[pts1.0120]],U14Mruns[[#This Row],[pts2.0120]])</f>
        <v>400</v>
      </c>
      <c r="F11" s="5">
        <f>MAX(U14Mruns[[#This Row],[pts1.0117]],U14Mruns[[#This Row],[pts2.0117]],U14Mruns[[#This Row],[pts0121]],U14Mruns[[#This Row],[pts1.0123]],U14Mruns[[#This Row],[pts2.0123]])</f>
        <v>250</v>
      </c>
      <c r="G11" s="5">
        <f>IFERROR(VLOOKUP(U14Mruns[[#This Row],[Card]],results0117[],4,FALSE),999)</f>
        <v>4</v>
      </c>
      <c r="H11" s="5">
        <f>VLOOKUP(U14Mruns[[#This Row],[pos1.0117]],pointstable[],2,FALSE)</f>
        <v>250</v>
      </c>
      <c r="I11" s="5">
        <f>IFERROR(VLOOKUP(U14Mruns[[#This Row],[Card]],results0117[],5,FALSE),999)</f>
        <v>7</v>
      </c>
      <c r="J11" s="5">
        <f>VLOOKUP(U14Mruns[[#This Row],[pos2.0117]],pointstable[],2,FALSE)</f>
        <v>180</v>
      </c>
      <c r="K11" s="5">
        <f>IFERROR(VLOOKUP(U14Mruns[[#This Row],[Card]],results0119[],4,FALSE),999)</f>
        <v>999</v>
      </c>
      <c r="L11" s="5">
        <f>VLOOKUP(U14Mruns[[#This Row],[pos1.0119]],pointstable[],2,FALSE)</f>
        <v>0</v>
      </c>
      <c r="M11" s="5">
        <f>IFERROR(VLOOKUP(U14Mruns[[#This Row],[Card]],results0119[],5,FALSE),999)</f>
        <v>2</v>
      </c>
      <c r="N11" s="5">
        <f>VLOOKUP(U14Mruns[[#This Row],[pos2.0119]],pointstable[],2,FALSE)</f>
        <v>400</v>
      </c>
      <c r="O11" s="5">
        <f>IFERROR(VLOOKUP(U14Mruns[[#This Row],[Card]],results0121[],3,FALSE),999)</f>
        <v>999</v>
      </c>
      <c r="P11" s="5">
        <f>VLOOKUP(U14Mruns[[#This Row],[pos0121]],pointstable[],2,FALSE)</f>
        <v>0</v>
      </c>
      <c r="Q11" s="5">
        <f>IFERROR(VLOOKUP(U14Mruns[[#This Row],[Card]],results0118[],4,FALSE),999)</f>
        <v>9</v>
      </c>
      <c r="R11" s="5">
        <f>VLOOKUP(U14Mruns[[#This Row],[pos1.0118]],pointstable[],2,FALSE)</f>
        <v>145</v>
      </c>
      <c r="S11" s="5">
        <f>IFERROR(VLOOKUP(U14Mruns[[#This Row],[Card]],results0118[],5,FALSE),999)</f>
        <v>7</v>
      </c>
      <c r="T11" s="5">
        <f>VLOOKUP(U14Mruns[[#This Row],[pos2.0118]],pointstable[],2,FALSE)</f>
        <v>180</v>
      </c>
      <c r="U11" s="5">
        <f>IFERROR(VLOOKUP(U14Mruns[[#This Row],[Card]],results0123[],4,FALSE),999)</f>
        <v>5</v>
      </c>
      <c r="V11" s="5">
        <f>VLOOKUP(U14Mruns[[#This Row],[pos1.0123]],pointstable[],2,FALSE)</f>
        <v>225</v>
      </c>
      <c r="W11" s="5">
        <f>IFERROR(VLOOKUP(U14Mruns[[#This Row],[Card]],results0123[],5,FALSE),999)</f>
        <v>7</v>
      </c>
      <c r="X11" s="5">
        <f>VLOOKUP(U14Mruns[[#This Row],[pos2.0123]],pointstable[],2,FALSE)</f>
        <v>180</v>
      </c>
      <c r="Y11" s="5">
        <f>IFERROR(VLOOKUP(U14Mruns[[#This Row],[Card]],results0120[],4,FALSE),999)</f>
        <v>5</v>
      </c>
      <c r="Z11" s="5">
        <f>VLOOKUP(U14Mruns[[#This Row],[pos1.0120]],pointstable[],2,FALSE)</f>
        <v>225</v>
      </c>
      <c r="AA11" s="5">
        <f>IFERROR(VLOOKUP(U14Mruns[[#This Row],[Card]],results0120[],5,FALSE),999)</f>
        <v>999</v>
      </c>
      <c r="AB11" s="5">
        <f>VLOOKUP(U14Mruns[[#This Row],[pos2.0120]],pointstable[],2,FALSE)</f>
        <v>0</v>
      </c>
    </row>
    <row r="12" spans="1:28" ht="14.45" x14ac:dyDescent="0.3">
      <c r="A12">
        <v>80610</v>
      </c>
      <c r="B12" t="s">
        <v>219</v>
      </c>
      <c r="C12" t="s">
        <v>15</v>
      </c>
      <c r="D12">
        <v>5</v>
      </c>
      <c r="E12" s="5">
        <f>MAX(U14Mruns[[#This Row],[pts1.0119]],U14Mruns[[#This Row],[pts2.0119]],U14Mruns[[#This Row],[pts1.0118]],U14Mruns[[#This Row],[pts2.0118]],U14Mruns[[#This Row],[pts1.0120]],U14Mruns[[#This Row],[pts2.0120]])</f>
        <v>250</v>
      </c>
      <c r="F12" s="5">
        <f>MAX(U14Mruns[[#This Row],[pts1.0117]],U14Mruns[[#This Row],[pts2.0117]],U14Mruns[[#This Row],[pts0121]],U14Mruns[[#This Row],[pts1.0123]],U14Mruns[[#This Row],[pts2.0123]])</f>
        <v>400</v>
      </c>
      <c r="G12" s="5">
        <f>IFERROR(VLOOKUP(U14Mruns[[#This Row],[Card]],results0117[],4,FALSE),999)</f>
        <v>8</v>
      </c>
      <c r="H12" s="5">
        <f>VLOOKUP(U14Mruns[[#This Row],[pos1.0117]],pointstable[],2,FALSE)</f>
        <v>160</v>
      </c>
      <c r="I12" s="5">
        <f>IFERROR(VLOOKUP(U14Mruns[[#This Row],[Card]],results0117[],5,FALSE),999)</f>
        <v>4</v>
      </c>
      <c r="J12" s="5">
        <f>VLOOKUP(U14Mruns[[#This Row],[pos2.0117]],pointstable[],2,FALSE)</f>
        <v>250</v>
      </c>
      <c r="K12" s="5">
        <f>IFERROR(VLOOKUP(U14Mruns[[#This Row],[Card]],results0119[],4,FALSE),999)</f>
        <v>17</v>
      </c>
      <c r="L12" s="5">
        <f>VLOOKUP(U14Mruns[[#This Row],[pos1.0119]],pointstable[],2,FALSE)</f>
        <v>70</v>
      </c>
      <c r="M12" s="5">
        <f>IFERROR(VLOOKUP(U14Mruns[[#This Row],[Card]],results0119[],5,FALSE),999)</f>
        <v>12</v>
      </c>
      <c r="N12" s="5">
        <f>VLOOKUP(U14Mruns[[#This Row],[pos2.0119]],pointstable[],2,FALSE)</f>
        <v>110</v>
      </c>
      <c r="O12" s="5">
        <f>IFERROR(VLOOKUP(U14Mruns[[#This Row],[Card]],results0121[],3,FALSE),999)</f>
        <v>11</v>
      </c>
      <c r="P12" s="5">
        <f>VLOOKUP(U14Mruns[[#This Row],[pos0121]],pointstable[],2,FALSE)</f>
        <v>120</v>
      </c>
      <c r="Q12" s="5">
        <f>IFERROR(VLOOKUP(U14Mruns[[#This Row],[Card]],results0118[],4,FALSE),999)</f>
        <v>15</v>
      </c>
      <c r="R12" s="5">
        <f>VLOOKUP(U14Mruns[[#This Row],[pos1.0118]],pointstable[],2,FALSE)</f>
        <v>80</v>
      </c>
      <c r="S12" s="5">
        <f>IFERROR(VLOOKUP(U14Mruns[[#This Row],[Card]],results0118[],5,FALSE),999)</f>
        <v>4</v>
      </c>
      <c r="T12" s="5">
        <f>VLOOKUP(U14Mruns[[#This Row],[pos2.0118]],pointstable[],2,FALSE)</f>
        <v>250</v>
      </c>
      <c r="U12" s="5">
        <f>IFERROR(VLOOKUP(U14Mruns[[#This Row],[Card]],results0123[],4,FALSE),999)</f>
        <v>8</v>
      </c>
      <c r="V12" s="5">
        <f>VLOOKUP(U14Mruns[[#This Row],[pos1.0123]],pointstable[],2,FALSE)</f>
        <v>160</v>
      </c>
      <c r="W12" s="5">
        <f>IFERROR(VLOOKUP(U14Mruns[[#This Row],[Card]],results0123[],5,FALSE),999)</f>
        <v>2</v>
      </c>
      <c r="X12" s="5">
        <f>VLOOKUP(U14Mruns[[#This Row],[pos2.0123]],pointstable[],2,FALSE)</f>
        <v>400</v>
      </c>
      <c r="Y12" s="5">
        <f>IFERROR(VLOOKUP(U14Mruns[[#This Row],[Card]],results0120[],4,FALSE),999)</f>
        <v>66</v>
      </c>
      <c r="Z12" s="5">
        <f>VLOOKUP(U14Mruns[[#This Row],[pos1.0120]],pointstable[],2,FALSE)</f>
        <v>0</v>
      </c>
      <c r="AA12" s="5">
        <f>IFERROR(VLOOKUP(U14Mruns[[#This Row],[Card]],results0120[],5,FALSE),999)</f>
        <v>17</v>
      </c>
      <c r="AB12" s="5">
        <f>VLOOKUP(U14Mruns[[#This Row],[pos2.0120]],pointstable[],2,FALSE)</f>
        <v>70</v>
      </c>
    </row>
    <row r="13" spans="1:28" ht="14.45" x14ac:dyDescent="0.3">
      <c r="A13">
        <v>76653</v>
      </c>
      <c r="B13" t="s">
        <v>37</v>
      </c>
      <c r="C13" t="s">
        <v>38</v>
      </c>
      <c r="D13">
        <v>4</v>
      </c>
      <c r="E13" s="5">
        <f>MAX(U14Mruns[[#This Row],[pts1.0119]],U14Mruns[[#This Row],[pts2.0119]],U14Mruns[[#This Row],[pts1.0118]],U14Mruns[[#This Row],[pts2.0118]],U14Mruns[[#This Row],[pts1.0120]],U14Mruns[[#This Row],[pts2.0120]])</f>
        <v>65</v>
      </c>
      <c r="F13" s="5">
        <f>MAX(U14Mruns[[#This Row],[pts1.0117]],U14Mruns[[#This Row],[pts2.0117]],U14Mruns[[#This Row],[pts0121]],U14Mruns[[#This Row],[pts1.0123]],U14Mruns[[#This Row],[pts2.0123]])</f>
        <v>250</v>
      </c>
      <c r="G13" s="5">
        <f>IFERROR(VLOOKUP(U14Mruns[[#This Row],[Card]],results0117[],4,FALSE),999)</f>
        <v>17</v>
      </c>
      <c r="H13" s="5">
        <f>VLOOKUP(U14Mruns[[#This Row],[pos1.0117]],pointstable[],2,FALSE)</f>
        <v>70</v>
      </c>
      <c r="I13" s="5">
        <f>IFERROR(VLOOKUP(U14Mruns[[#This Row],[Card]],results0117[],5,FALSE),999)</f>
        <v>28</v>
      </c>
      <c r="J13" s="5">
        <f>VLOOKUP(U14Mruns[[#This Row],[pos2.0117]],pointstable[],2,FALSE)</f>
        <v>32</v>
      </c>
      <c r="K13" s="5">
        <f>IFERROR(VLOOKUP(U14Mruns[[#This Row],[Card]],results0119[],4,FALSE),999)</f>
        <v>18</v>
      </c>
      <c r="L13" s="5">
        <f>VLOOKUP(U14Mruns[[#This Row],[pos1.0119]],pointstable[],2,FALSE)</f>
        <v>65</v>
      </c>
      <c r="M13" s="5">
        <f>IFERROR(VLOOKUP(U14Mruns[[#This Row],[Card]],results0119[],5,FALSE),999)</f>
        <v>25</v>
      </c>
      <c r="N13" s="5">
        <f>VLOOKUP(U14Mruns[[#This Row],[pos2.0119]],pointstable[],2,FALSE)</f>
        <v>38</v>
      </c>
      <c r="O13" s="5">
        <f>IFERROR(VLOOKUP(U14Mruns[[#This Row],[Card]],results0121[],3,FALSE),999)</f>
        <v>4</v>
      </c>
      <c r="P13" s="5">
        <f>VLOOKUP(U14Mruns[[#This Row],[pos0121]],pointstable[],2,FALSE)</f>
        <v>250</v>
      </c>
      <c r="Q13" s="5">
        <f>IFERROR(VLOOKUP(U14Mruns[[#This Row],[Card]],results0118[],4,FALSE),999)</f>
        <v>26</v>
      </c>
      <c r="R13" s="5">
        <f>VLOOKUP(U14Mruns[[#This Row],[pos1.0118]],pointstable[],2,FALSE)</f>
        <v>36</v>
      </c>
      <c r="S13" s="5">
        <f>IFERROR(VLOOKUP(U14Mruns[[#This Row],[Card]],results0118[],5,FALSE),999)</f>
        <v>30</v>
      </c>
      <c r="T13" s="5">
        <f>VLOOKUP(U14Mruns[[#This Row],[pos2.0118]],pointstable[],2,FALSE)</f>
        <v>30</v>
      </c>
      <c r="U13" s="5">
        <f>IFERROR(VLOOKUP(U14Mruns[[#This Row],[Card]],results0123[],4,FALSE),999)</f>
        <v>18</v>
      </c>
      <c r="V13" s="5">
        <f>VLOOKUP(U14Mruns[[#This Row],[pos1.0123]],pointstable[],2,FALSE)</f>
        <v>65</v>
      </c>
      <c r="W13" s="5">
        <f>IFERROR(VLOOKUP(U14Mruns[[#This Row],[Card]],results0123[],5,FALSE),999)</f>
        <v>16</v>
      </c>
      <c r="X13" s="5">
        <f>VLOOKUP(U14Mruns[[#This Row],[pos2.0123]],pointstable[],2,FALSE)</f>
        <v>75</v>
      </c>
      <c r="Y13" s="5">
        <f>IFERROR(VLOOKUP(U14Mruns[[#This Row],[Card]],results0120[],4,FALSE),999)</f>
        <v>25</v>
      </c>
      <c r="Z13" s="5">
        <f>VLOOKUP(U14Mruns[[#This Row],[pos1.0120]],pointstable[],2,FALSE)</f>
        <v>38</v>
      </c>
      <c r="AA13" s="5">
        <f>IFERROR(VLOOKUP(U14Mruns[[#This Row],[Card]],results0120[],5,FALSE),999)</f>
        <v>29</v>
      </c>
      <c r="AB13" s="5">
        <f>VLOOKUP(U14Mruns[[#This Row],[pos2.0120]],pointstable[],2,FALSE)</f>
        <v>31</v>
      </c>
    </row>
    <row r="14" spans="1:28" ht="14.45" x14ac:dyDescent="0.3">
      <c r="A14">
        <v>77368</v>
      </c>
      <c r="B14" t="s">
        <v>35</v>
      </c>
      <c r="C14" t="s">
        <v>15</v>
      </c>
      <c r="D14">
        <v>4</v>
      </c>
      <c r="E14" s="5">
        <f>MAX(U14Mruns[[#This Row],[pts1.0119]],U14Mruns[[#This Row],[pts2.0119]],U14Mruns[[#This Row],[pts1.0118]],U14Mruns[[#This Row],[pts2.0118]],U14Mruns[[#This Row],[pts1.0120]],U14Mruns[[#This Row],[pts2.0120]])</f>
        <v>500</v>
      </c>
      <c r="F14" s="5">
        <f>MAX(U14Mruns[[#This Row],[pts1.0117]],U14Mruns[[#This Row],[pts2.0117]],U14Mruns[[#This Row],[pts0121]],U14Mruns[[#This Row],[pts1.0123]],U14Mruns[[#This Row],[pts2.0123]])</f>
        <v>500</v>
      </c>
      <c r="G14" s="5">
        <f>IFERROR(VLOOKUP(U14Mruns[[#This Row],[Card]],results0117[],4,FALSE),999)</f>
        <v>13</v>
      </c>
      <c r="H14" s="5">
        <f>VLOOKUP(U14Mruns[[#This Row],[pos1.0117]],pointstable[],2,FALSE)</f>
        <v>100</v>
      </c>
      <c r="I14" s="5">
        <f>IFERROR(VLOOKUP(U14Mruns[[#This Row],[Card]],results0117[],5,FALSE),999)</f>
        <v>17</v>
      </c>
      <c r="J14" s="5">
        <f>VLOOKUP(U14Mruns[[#This Row],[pos2.0117]],pointstable[],2,FALSE)</f>
        <v>70</v>
      </c>
      <c r="K14" s="5">
        <f>IFERROR(VLOOKUP(U14Mruns[[#This Row],[Card]],results0119[],4,FALSE),999)</f>
        <v>5</v>
      </c>
      <c r="L14" s="5">
        <f>VLOOKUP(U14Mruns[[#This Row],[pos1.0119]],pointstable[],2,FALSE)</f>
        <v>225</v>
      </c>
      <c r="M14" s="5">
        <f>IFERROR(VLOOKUP(U14Mruns[[#This Row],[Card]],results0119[],5,FALSE),999)</f>
        <v>6</v>
      </c>
      <c r="N14" s="5">
        <f>VLOOKUP(U14Mruns[[#This Row],[pos2.0119]],pointstable[],2,FALSE)</f>
        <v>200</v>
      </c>
      <c r="O14" s="5">
        <f>IFERROR(VLOOKUP(U14Mruns[[#This Row],[Card]],results0121[],3,FALSE),999)</f>
        <v>6</v>
      </c>
      <c r="P14" s="5">
        <f>VLOOKUP(U14Mruns[[#This Row],[pos0121]],pointstable[],2,FALSE)</f>
        <v>200</v>
      </c>
      <c r="Q14" s="5">
        <f>IFERROR(VLOOKUP(U14Mruns[[#This Row],[Card]],results0118[],4,FALSE),999)</f>
        <v>3</v>
      </c>
      <c r="R14" s="5">
        <f>VLOOKUP(U14Mruns[[#This Row],[pos1.0118]],pointstable[],2,FALSE)</f>
        <v>300</v>
      </c>
      <c r="S14" s="5">
        <f>IFERROR(VLOOKUP(U14Mruns[[#This Row],[Card]],results0118[],5,FALSE),999)</f>
        <v>2</v>
      </c>
      <c r="T14" s="5">
        <f>VLOOKUP(U14Mruns[[#This Row],[pos2.0118]],pointstable[],2,FALSE)</f>
        <v>400</v>
      </c>
      <c r="U14" s="5">
        <f>IFERROR(VLOOKUP(U14Mruns[[#This Row],[Card]],results0123[],4,FALSE),999)</f>
        <v>3</v>
      </c>
      <c r="V14" s="5">
        <f>VLOOKUP(U14Mruns[[#This Row],[pos1.0123]],pointstable[],2,FALSE)</f>
        <v>300</v>
      </c>
      <c r="W14" s="5">
        <f>IFERROR(VLOOKUP(U14Mruns[[#This Row],[Card]],results0123[],5,FALSE),999)</f>
        <v>1</v>
      </c>
      <c r="X14" s="5">
        <f>VLOOKUP(U14Mruns[[#This Row],[pos2.0123]],pointstable[],2,FALSE)</f>
        <v>500</v>
      </c>
      <c r="Y14" s="5">
        <f>IFERROR(VLOOKUP(U14Mruns[[#This Row],[Card]],results0120[],4,FALSE),999)</f>
        <v>3</v>
      </c>
      <c r="Z14" s="5">
        <f>VLOOKUP(U14Mruns[[#This Row],[pos1.0120]],pointstable[],2,FALSE)</f>
        <v>300</v>
      </c>
      <c r="AA14" s="5">
        <f>IFERROR(VLOOKUP(U14Mruns[[#This Row],[Card]],results0120[],5,FALSE),999)</f>
        <v>1</v>
      </c>
      <c r="AB14" s="5">
        <f>VLOOKUP(U14Mruns[[#This Row],[pos2.0120]],pointstable[],2,FALSE)</f>
        <v>500</v>
      </c>
    </row>
    <row r="15" spans="1:28" ht="14.45" x14ac:dyDescent="0.3">
      <c r="A15">
        <v>80621</v>
      </c>
      <c r="B15" t="s">
        <v>18</v>
      </c>
      <c r="C15" t="s">
        <v>19</v>
      </c>
      <c r="D15">
        <v>4</v>
      </c>
      <c r="E15" s="5">
        <f>MAX(U14Mruns[[#This Row],[pts1.0119]],U14Mruns[[#This Row],[pts2.0119]],U14Mruns[[#This Row],[pts1.0118]],U14Mruns[[#This Row],[pts2.0118]],U14Mruns[[#This Row],[pts1.0120]],U14Mruns[[#This Row],[pts2.0120]])</f>
        <v>300</v>
      </c>
      <c r="F15" s="5">
        <f>MAX(U14Mruns[[#This Row],[pts1.0117]],U14Mruns[[#This Row],[pts2.0117]],U14Mruns[[#This Row],[pts0121]],U14Mruns[[#This Row],[pts1.0123]],U14Mruns[[#This Row],[pts2.0123]])</f>
        <v>180</v>
      </c>
      <c r="G15" s="5">
        <f>IFERROR(VLOOKUP(U14Mruns[[#This Row],[Card]],results0117[],4,FALSE),999)</f>
        <v>31</v>
      </c>
      <c r="H15" s="5">
        <f>VLOOKUP(U14Mruns[[#This Row],[pos1.0117]],pointstable[],2,FALSE)</f>
        <v>29</v>
      </c>
      <c r="I15" s="5">
        <f>IFERROR(VLOOKUP(U14Mruns[[#This Row],[Card]],results0117[],5,FALSE),999)</f>
        <v>19</v>
      </c>
      <c r="J15" s="5">
        <f>VLOOKUP(U14Mruns[[#This Row],[pos2.0117]],pointstable[],2,FALSE)</f>
        <v>60</v>
      </c>
      <c r="K15" s="5">
        <f>IFERROR(VLOOKUP(U14Mruns[[#This Row],[Card]],results0119[],4,FALSE),999)</f>
        <v>21</v>
      </c>
      <c r="L15" s="5">
        <f>VLOOKUP(U14Mruns[[#This Row],[pos1.0119]],pointstable[],2,FALSE)</f>
        <v>51</v>
      </c>
      <c r="M15" s="5">
        <f>IFERROR(VLOOKUP(U14Mruns[[#This Row],[Card]],results0119[],5,FALSE),999)</f>
        <v>20</v>
      </c>
      <c r="N15" s="5">
        <f>VLOOKUP(U14Mruns[[#This Row],[pos2.0119]],pointstable[],2,FALSE)</f>
        <v>55</v>
      </c>
      <c r="O15" s="5">
        <f>IFERROR(VLOOKUP(U14Mruns[[#This Row],[Card]],results0121[],3,FALSE),999)</f>
        <v>7</v>
      </c>
      <c r="P15" s="5">
        <f>VLOOKUP(U14Mruns[[#This Row],[pos0121]],pointstable[],2,FALSE)</f>
        <v>180</v>
      </c>
      <c r="Q15" s="5">
        <f>IFERROR(VLOOKUP(U14Mruns[[#This Row],[Card]],results0118[],4,FALSE),999)</f>
        <v>12</v>
      </c>
      <c r="R15" s="5">
        <f>VLOOKUP(U14Mruns[[#This Row],[pos1.0118]],pointstable[],2,FALSE)</f>
        <v>110</v>
      </c>
      <c r="S15" s="5">
        <f>IFERROR(VLOOKUP(U14Mruns[[#This Row],[Card]],results0118[],5,FALSE),999)</f>
        <v>13</v>
      </c>
      <c r="T15" s="5">
        <f>VLOOKUP(U14Mruns[[#This Row],[pos2.0118]],pointstable[],2,FALSE)</f>
        <v>100</v>
      </c>
      <c r="U15" s="5">
        <f>IFERROR(VLOOKUP(U14Mruns[[#This Row],[Card]],results0123[],4,FALSE),999)</f>
        <v>999</v>
      </c>
      <c r="V15" s="5">
        <f>VLOOKUP(U14Mruns[[#This Row],[pos1.0123]],pointstable[],2,FALSE)</f>
        <v>0</v>
      </c>
      <c r="W15" s="5">
        <f>IFERROR(VLOOKUP(U14Mruns[[#This Row],[Card]],results0123[],5,FALSE),999)</f>
        <v>27</v>
      </c>
      <c r="X15" s="5">
        <f>VLOOKUP(U14Mruns[[#This Row],[pos2.0123]],pointstable[],2,FALSE)</f>
        <v>34</v>
      </c>
      <c r="Y15" s="5">
        <f>IFERROR(VLOOKUP(U14Mruns[[#This Row],[Card]],results0120[],4,FALSE),999)</f>
        <v>999</v>
      </c>
      <c r="Z15" s="5">
        <f>VLOOKUP(U14Mruns[[#This Row],[pos1.0120]],pointstable[],2,FALSE)</f>
        <v>0</v>
      </c>
      <c r="AA15" s="5">
        <f>IFERROR(VLOOKUP(U14Mruns[[#This Row],[Card]],results0120[],5,FALSE),999)</f>
        <v>3</v>
      </c>
      <c r="AB15" s="5">
        <f>VLOOKUP(U14Mruns[[#This Row],[pos2.0120]],pointstable[],2,FALSE)</f>
        <v>300</v>
      </c>
    </row>
    <row r="16" spans="1:28" ht="14.45" x14ac:dyDescent="0.3">
      <c r="A16">
        <v>80809</v>
      </c>
      <c r="B16" t="s">
        <v>53</v>
      </c>
      <c r="C16" t="s">
        <v>54</v>
      </c>
      <c r="D16">
        <v>4</v>
      </c>
      <c r="E16" s="5">
        <f>MAX(U14Mruns[[#This Row],[pts1.0119]],U14Mruns[[#This Row],[pts2.0119]],U14Mruns[[#This Row],[pts1.0118]],U14Mruns[[#This Row],[pts2.0118]],U14Mruns[[#This Row],[pts1.0120]],U14Mruns[[#This Row],[pts2.0120]])</f>
        <v>130</v>
      </c>
      <c r="F16" s="5">
        <f>MAX(U14Mruns[[#This Row],[pts1.0117]],U14Mruns[[#This Row],[pts2.0117]],U14Mruns[[#This Row],[pts0121]],U14Mruns[[#This Row],[pts1.0123]],U14Mruns[[#This Row],[pts2.0123]])</f>
        <v>180</v>
      </c>
      <c r="G16" s="5">
        <f>IFERROR(VLOOKUP(U14Mruns[[#This Row],[Card]],results0117[],4,FALSE),999)</f>
        <v>7</v>
      </c>
      <c r="H16" s="5">
        <f>VLOOKUP(U14Mruns[[#This Row],[pos1.0117]],pointstable[],2,FALSE)</f>
        <v>180</v>
      </c>
      <c r="I16" s="5">
        <f>IFERROR(VLOOKUP(U14Mruns[[#This Row],[Card]],results0117[],5,FALSE),999)</f>
        <v>999</v>
      </c>
      <c r="J16" s="5">
        <f>VLOOKUP(U14Mruns[[#This Row],[pos2.0117]],pointstable[],2,FALSE)</f>
        <v>0</v>
      </c>
      <c r="K16" s="5">
        <f>IFERROR(VLOOKUP(U14Mruns[[#This Row],[Card]],results0119[],4,FALSE),999)</f>
        <v>13</v>
      </c>
      <c r="L16" s="5">
        <f>VLOOKUP(U14Mruns[[#This Row],[pos1.0119]],pointstable[],2,FALSE)</f>
        <v>100</v>
      </c>
      <c r="M16" s="5">
        <f>IFERROR(VLOOKUP(U14Mruns[[#This Row],[Card]],results0119[],5,FALSE),999)</f>
        <v>999</v>
      </c>
      <c r="N16" s="5">
        <f>VLOOKUP(U14Mruns[[#This Row],[pos2.0119]],pointstable[],2,FALSE)</f>
        <v>0</v>
      </c>
      <c r="O16" s="5">
        <f>IFERROR(VLOOKUP(U14Mruns[[#This Row],[Card]],results0121[],3,FALSE),999)</f>
        <v>28</v>
      </c>
      <c r="P16" s="5">
        <f>VLOOKUP(U14Mruns[[#This Row],[pos0121]],pointstable[],2,FALSE)</f>
        <v>32</v>
      </c>
      <c r="Q16" s="5">
        <f>IFERROR(VLOOKUP(U14Mruns[[#This Row],[Card]],results0118[],4,FALSE),999)</f>
        <v>13</v>
      </c>
      <c r="R16" s="5">
        <f>VLOOKUP(U14Mruns[[#This Row],[pos1.0118]],pointstable[],2,FALSE)</f>
        <v>100</v>
      </c>
      <c r="S16" s="5">
        <f>IFERROR(VLOOKUP(U14Mruns[[#This Row],[Card]],results0118[],5,FALSE),999)</f>
        <v>16</v>
      </c>
      <c r="T16" s="5">
        <f>VLOOKUP(U14Mruns[[#This Row],[pos2.0118]],pointstable[],2,FALSE)</f>
        <v>75</v>
      </c>
      <c r="U16" s="5">
        <f>IFERROR(VLOOKUP(U14Mruns[[#This Row],[Card]],results0123[],4,FALSE),999)</f>
        <v>999</v>
      </c>
      <c r="V16" s="5">
        <f>VLOOKUP(U14Mruns[[#This Row],[pos1.0123]],pointstable[],2,FALSE)</f>
        <v>0</v>
      </c>
      <c r="W16" s="5">
        <f>IFERROR(VLOOKUP(U14Mruns[[#This Row],[Card]],results0123[],5,FALSE),999)</f>
        <v>30</v>
      </c>
      <c r="X16" s="5">
        <f>VLOOKUP(U14Mruns[[#This Row],[pos2.0123]],pointstable[],2,FALSE)</f>
        <v>30</v>
      </c>
      <c r="Y16" s="5">
        <f>IFERROR(VLOOKUP(U14Mruns[[#This Row],[Card]],results0120[],4,FALSE),999)</f>
        <v>26</v>
      </c>
      <c r="Z16" s="5">
        <f>VLOOKUP(U14Mruns[[#This Row],[pos1.0120]],pointstable[],2,FALSE)</f>
        <v>36</v>
      </c>
      <c r="AA16" s="5">
        <f>IFERROR(VLOOKUP(U14Mruns[[#This Row],[Card]],results0120[],5,FALSE),999)</f>
        <v>10</v>
      </c>
      <c r="AB16" s="5">
        <f>VLOOKUP(U14Mruns[[#This Row],[pos2.0120]],pointstable[],2,FALSE)</f>
        <v>130</v>
      </c>
    </row>
    <row r="17" spans="1:28" ht="14.45" x14ac:dyDescent="0.3">
      <c r="A17">
        <v>82314</v>
      </c>
      <c r="B17" t="s">
        <v>78</v>
      </c>
      <c r="C17" t="s">
        <v>15</v>
      </c>
      <c r="D17">
        <v>4</v>
      </c>
      <c r="E17" s="5">
        <f>MAX(U14Mruns[[#This Row],[pts1.0119]],U14Mruns[[#This Row],[pts2.0119]],U14Mruns[[#This Row],[pts1.0118]],U14Mruns[[#This Row],[pts2.0118]],U14Mruns[[#This Row],[pts1.0120]],U14Mruns[[#This Row],[pts2.0120]])</f>
        <v>90</v>
      </c>
      <c r="F17" s="5">
        <f>MAX(U14Mruns[[#This Row],[pts1.0117]],U14Mruns[[#This Row],[pts2.0117]],U14Mruns[[#This Row],[pts0121]],U14Mruns[[#This Row],[pts1.0123]],U14Mruns[[#This Row],[pts2.0123]])</f>
        <v>160</v>
      </c>
      <c r="G17" s="5">
        <f>IFERROR(VLOOKUP(U14Mruns[[#This Row],[Card]],results0117[],4,FALSE),999)</f>
        <v>10</v>
      </c>
      <c r="H17" s="5">
        <f>VLOOKUP(U14Mruns[[#This Row],[pos1.0117]],pointstable[],2,FALSE)</f>
        <v>130</v>
      </c>
      <c r="I17" s="5">
        <f>IFERROR(VLOOKUP(U14Mruns[[#This Row],[Card]],results0117[],5,FALSE),999)</f>
        <v>16</v>
      </c>
      <c r="J17" s="5">
        <f>VLOOKUP(U14Mruns[[#This Row],[pos2.0117]],pointstable[],2,FALSE)</f>
        <v>75</v>
      </c>
      <c r="K17" s="5">
        <f>IFERROR(VLOOKUP(U14Mruns[[#This Row],[Card]],results0119[],4,FALSE),999)</f>
        <v>29</v>
      </c>
      <c r="L17" s="5">
        <f>VLOOKUP(U14Mruns[[#This Row],[pos1.0119]],pointstable[],2,FALSE)</f>
        <v>31</v>
      </c>
      <c r="M17" s="5">
        <f>IFERROR(VLOOKUP(U14Mruns[[#This Row],[Card]],results0119[],5,FALSE),999)</f>
        <v>31</v>
      </c>
      <c r="N17" s="5">
        <f>VLOOKUP(U14Mruns[[#This Row],[pos2.0119]],pointstable[],2,FALSE)</f>
        <v>29</v>
      </c>
      <c r="O17" s="5">
        <f>IFERROR(VLOOKUP(U14Mruns[[#This Row],[Card]],results0121[],3,FALSE),999)</f>
        <v>8</v>
      </c>
      <c r="P17" s="5">
        <f>VLOOKUP(U14Mruns[[#This Row],[pos0121]],pointstable[],2,FALSE)</f>
        <v>160</v>
      </c>
      <c r="Q17" s="5">
        <f>IFERROR(VLOOKUP(U14Mruns[[#This Row],[Card]],results0118[],4,FALSE),999)</f>
        <v>999</v>
      </c>
      <c r="R17" s="5">
        <f>VLOOKUP(U14Mruns[[#This Row],[pos1.0118]],pointstable[],2,FALSE)</f>
        <v>0</v>
      </c>
      <c r="S17" s="5">
        <f>IFERROR(VLOOKUP(U14Mruns[[#This Row],[Card]],results0118[],5,FALSE),999)</f>
        <v>999</v>
      </c>
      <c r="T17" s="5">
        <f>VLOOKUP(U14Mruns[[#This Row],[pos2.0118]],pointstable[],2,FALSE)</f>
        <v>0</v>
      </c>
      <c r="U17" s="5">
        <f>IFERROR(VLOOKUP(U14Mruns[[#This Row],[Card]],results0123[],4,FALSE),999)</f>
        <v>999</v>
      </c>
      <c r="V17" s="5">
        <f>VLOOKUP(U14Mruns[[#This Row],[pos1.0123]],pointstable[],2,FALSE)</f>
        <v>0</v>
      </c>
      <c r="W17" s="5">
        <f>IFERROR(VLOOKUP(U14Mruns[[#This Row],[Card]],results0123[],5,FALSE),999)</f>
        <v>999</v>
      </c>
      <c r="X17" s="5">
        <f>VLOOKUP(U14Mruns[[#This Row],[pos2.0123]],pointstable[],2,FALSE)</f>
        <v>0</v>
      </c>
      <c r="Y17" s="5">
        <f>IFERROR(VLOOKUP(U14Mruns[[#This Row],[Card]],results0120[],4,FALSE),999)</f>
        <v>999</v>
      </c>
      <c r="Z17" s="5">
        <f>VLOOKUP(U14Mruns[[#This Row],[pos1.0120]],pointstable[],2,FALSE)</f>
        <v>0</v>
      </c>
      <c r="AA17" s="5">
        <f>IFERROR(VLOOKUP(U14Mruns[[#This Row],[Card]],results0120[],5,FALSE),999)</f>
        <v>14</v>
      </c>
      <c r="AB17" s="5">
        <f>VLOOKUP(U14Mruns[[#This Row],[pos2.0120]],pointstable[],2,FALSE)</f>
        <v>90</v>
      </c>
    </row>
    <row r="18" spans="1:28" ht="14.45" x14ac:dyDescent="0.3">
      <c r="A18">
        <v>81108</v>
      </c>
      <c r="B18" t="s">
        <v>44</v>
      </c>
      <c r="C18" t="s">
        <v>22</v>
      </c>
      <c r="D18">
        <v>5</v>
      </c>
      <c r="E18" s="5">
        <f>MAX(U14Mruns[[#This Row],[pts1.0119]],U14Mruns[[#This Row],[pts2.0119]],U14Mruns[[#This Row],[pts1.0118]],U14Mruns[[#This Row],[pts2.0118]],U14Mruns[[#This Row],[pts1.0120]],U14Mruns[[#This Row],[pts2.0120]])</f>
        <v>145</v>
      </c>
      <c r="F18" s="5">
        <f>MAX(U14Mruns[[#This Row],[pts1.0117]],U14Mruns[[#This Row],[pts2.0117]],U14Mruns[[#This Row],[pts0121]],U14Mruns[[#This Row],[pts1.0123]],U14Mruns[[#This Row],[pts2.0123]])</f>
        <v>145</v>
      </c>
      <c r="G18" s="5">
        <f>IFERROR(VLOOKUP(U14Mruns[[#This Row],[Card]],results0117[],4,FALSE),999)</f>
        <v>86</v>
      </c>
      <c r="H18" s="5">
        <f>VLOOKUP(U14Mruns[[#This Row],[pos1.0117]],pointstable[],2,FALSE)</f>
        <v>0</v>
      </c>
      <c r="I18" s="5">
        <f>IFERROR(VLOOKUP(U14Mruns[[#This Row],[Card]],results0117[],5,FALSE),999)</f>
        <v>9</v>
      </c>
      <c r="J18" s="5">
        <f>VLOOKUP(U14Mruns[[#This Row],[pos2.0117]],pointstable[],2,FALSE)</f>
        <v>145</v>
      </c>
      <c r="K18" s="5">
        <f>IFERROR(VLOOKUP(U14Mruns[[#This Row],[Card]],results0119[],4,FALSE),999)</f>
        <v>9</v>
      </c>
      <c r="L18" s="5">
        <f>VLOOKUP(U14Mruns[[#This Row],[pos1.0119]],pointstable[],2,FALSE)</f>
        <v>145</v>
      </c>
      <c r="M18" s="5">
        <f>IFERROR(VLOOKUP(U14Mruns[[#This Row],[Card]],results0119[],5,FALSE),999)</f>
        <v>17</v>
      </c>
      <c r="N18" s="5">
        <f>VLOOKUP(U14Mruns[[#This Row],[pos2.0119]],pointstable[],2,FALSE)</f>
        <v>70</v>
      </c>
      <c r="O18" s="5">
        <f>IFERROR(VLOOKUP(U14Mruns[[#This Row],[Card]],results0121[],3,FALSE),999)</f>
        <v>19</v>
      </c>
      <c r="P18" s="5">
        <f>VLOOKUP(U14Mruns[[#This Row],[pos0121]],pointstable[],2,FALSE)</f>
        <v>60</v>
      </c>
      <c r="Q18" s="5">
        <f>IFERROR(VLOOKUP(U14Mruns[[#This Row],[Card]],results0118[],4,FALSE),999)</f>
        <v>24</v>
      </c>
      <c r="R18" s="5">
        <f>VLOOKUP(U14Mruns[[#This Row],[pos1.0118]],pointstable[],2,FALSE)</f>
        <v>41</v>
      </c>
      <c r="S18" s="5">
        <f>IFERROR(VLOOKUP(U14Mruns[[#This Row],[Card]],results0118[],5,FALSE),999)</f>
        <v>14</v>
      </c>
      <c r="T18" s="5">
        <f>VLOOKUP(U14Mruns[[#This Row],[pos2.0118]],pointstable[],2,FALSE)</f>
        <v>90</v>
      </c>
      <c r="U18" s="5">
        <f>IFERROR(VLOOKUP(U14Mruns[[#This Row],[Card]],results0123[],4,FALSE),999)</f>
        <v>15</v>
      </c>
      <c r="V18" s="5">
        <f>VLOOKUP(U14Mruns[[#This Row],[pos1.0123]],pointstable[],2,FALSE)</f>
        <v>80</v>
      </c>
      <c r="W18" s="5">
        <f>IFERROR(VLOOKUP(U14Mruns[[#This Row],[Card]],results0123[],5,FALSE),999)</f>
        <v>20</v>
      </c>
      <c r="X18" s="5">
        <f>VLOOKUP(U14Mruns[[#This Row],[pos2.0123]],pointstable[],2,FALSE)</f>
        <v>55</v>
      </c>
      <c r="Y18" s="5">
        <f>IFERROR(VLOOKUP(U14Mruns[[#This Row],[Card]],results0120[],4,FALSE),999)</f>
        <v>999</v>
      </c>
      <c r="Z18" s="5">
        <f>VLOOKUP(U14Mruns[[#This Row],[pos1.0120]],pointstable[],2,FALSE)</f>
        <v>0</v>
      </c>
      <c r="AA18" s="5">
        <f>IFERROR(VLOOKUP(U14Mruns[[#This Row],[Card]],results0120[],5,FALSE),999)</f>
        <v>999</v>
      </c>
      <c r="AB18" s="5">
        <f>VLOOKUP(U14Mruns[[#This Row],[pos2.0120]],pointstable[],2,FALSE)</f>
        <v>0</v>
      </c>
    </row>
    <row r="19" spans="1:28" ht="14.45" x14ac:dyDescent="0.3">
      <c r="A19">
        <v>80824</v>
      </c>
      <c r="B19" t="s">
        <v>80</v>
      </c>
      <c r="C19" t="s">
        <v>54</v>
      </c>
      <c r="D19">
        <v>4</v>
      </c>
      <c r="E19" s="5">
        <f>MAX(U14Mruns[[#This Row],[pts1.0119]],U14Mruns[[#This Row],[pts2.0119]],U14Mruns[[#This Row],[pts1.0118]],U14Mruns[[#This Row],[pts2.0118]],U14Mruns[[#This Row],[pts1.0120]],U14Mruns[[#This Row],[pts2.0120]])</f>
        <v>110</v>
      </c>
      <c r="F19" s="5">
        <f>MAX(U14Mruns[[#This Row],[pts1.0117]],U14Mruns[[#This Row],[pts2.0117]],U14Mruns[[#This Row],[pts0121]],U14Mruns[[#This Row],[pts1.0123]],U14Mruns[[#This Row],[pts2.0123]])</f>
        <v>145</v>
      </c>
      <c r="G19" s="5">
        <f>IFERROR(VLOOKUP(U14Mruns[[#This Row],[Card]],results0117[],4,FALSE),999)</f>
        <v>24</v>
      </c>
      <c r="H19" s="5">
        <f>VLOOKUP(U14Mruns[[#This Row],[pos1.0117]],pointstable[],2,FALSE)</f>
        <v>41</v>
      </c>
      <c r="I19" s="5">
        <f>IFERROR(VLOOKUP(U14Mruns[[#This Row],[Card]],results0117[],5,FALSE),999)</f>
        <v>9</v>
      </c>
      <c r="J19" s="5">
        <f>VLOOKUP(U14Mruns[[#This Row],[pos2.0117]],pointstable[],2,FALSE)</f>
        <v>145</v>
      </c>
      <c r="K19" s="5">
        <f>IFERROR(VLOOKUP(U14Mruns[[#This Row],[Card]],results0119[],4,FALSE),999)</f>
        <v>16</v>
      </c>
      <c r="L19" s="5">
        <f>VLOOKUP(U14Mruns[[#This Row],[pos1.0119]],pointstable[],2,FALSE)</f>
        <v>75</v>
      </c>
      <c r="M19" s="5">
        <f>IFERROR(VLOOKUP(U14Mruns[[#This Row],[Card]],results0119[],5,FALSE),999)</f>
        <v>32</v>
      </c>
      <c r="N19" s="5">
        <f>VLOOKUP(U14Mruns[[#This Row],[pos2.0119]],pointstable[],2,FALSE)</f>
        <v>28</v>
      </c>
      <c r="O19" s="5">
        <f>IFERROR(VLOOKUP(U14Mruns[[#This Row],[Card]],results0121[],3,FALSE),999)</f>
        <v>999</v>
      </c>
      <c r="P19" s="5">
        <f>VLOOKUP(U14Mruns[[#This Row],[pos0121]],pointstable[],2,FALSE)</f>
        <v>0</v>
      </c>
      <c r="Q19" s="5">
        <f>IFERROR(VLOOKUP(U14Mruns[[#This Row],[Card]],results0118[],4,FALSE),999)</f>
        <v>999</v>
      </c>
      <c r="R19" s="5">
        <f>VLOOKUP(U14Mruns[[#This Row],[pos1.0118]],pointstable[],2,FALSE)</f>
        <v>0</v>
      </c>
      <c r="S19" s="5">
        <f>IFERROR(VLOOKUP(U14Mruns[[#This Row],[Card]],results0118[],5,FALSE),999)</f>
        <v>12</v>
      </c>
      <c r="T19" s="5">
        <f>VLOOKUP(U14Mruns[[#This Row],[pos2.0118]],pointstable[],2,FALSE)</f>
        <v>110</v>
      </c>
      <c r="U19" s="5">
        <f>IFERROR(VLOOKUP(U14Mruns[[#This Row],[Card]],results0123[],4,FALSE),999)</f>
        <v>29</v>
      </c>
      <c r="V19" s="5">
        <f>VLOOKUP(U14Mruns[[#This Row],[pos1.0123]],pointstable[],2,FALSE)</f>
        <v>31</v>
      </c>
      <c r="W19" s="5">
        <f>IFERROR(VLOOKUP(U14Mruns[[#This Row],[Card]],results0123[],5,FALSE),999)</f>
        <v>13</v>
      </c>
      <c r="X19" s="5">
        <f>VLOOKUP(U14Mruns[[#This Row],[pos2.0123]],pointstable[],2,FALSE)</f>
        <v>100</v>
      </c>
      <c r="Y19" s="5">
        <f>IFERROR(VLOOKUP(U14Mruns[[#This Row],[Card]],results0120[],4,FALSE),999)</f>
        <v>999</v>
      </c>
      <c r="Z19" s="5">
        <f>VLOOKUP(U14Mruns[[#This Row],[pos1.0120]],pointstable[],2,FALSE)</f>
        <v>0</v>
      </c>
      <c r="AA19" s="5">
        <f>IFERROR(VLOOKUP(U14Mruns[[#This Row],[Card]],results0120[],5,FALSE),999)</f>
        <v>999</v>
      </c>
      <c r="AB19" s="5">
        <f>VLOOKUP(U14Mruns[[#This Row],[pos2.0120]],pointstable[],2,FALSE)</f>
        <v>0</v>
      </c>
    </row>
    <row r="20" spans="1:28" ht="14.45" x14ac:dyDescent="0.3">
      <c r="A20">
        <v>84829</v>
      </c>
      <c r="B20" t="s">
        <v>68</v>
      </c>
      <c r="C20" t="s">
        <v>15</v>
      </c>
      <c r="D20">
        <v>5</v>
      </c>
      <c r="E20" s="5">
        <f>MAX(U14Mruns[[#This Row],[pts1.0119]],U14Mruns[[#This Row],[pts2.0119]],U14Mruns[[#This Row],[pts1.0118]],U14Mruns[[#This Row],[pts2.0118]],U14Mruns[[#This Row],[pts1.0120]],U14Mruns[[#This Row],[pts2.0120]])</f>
        <v>250</v>
      </c>
      <c r="F20" s="5">
        <f>MAX(U14Mruns[[#This Row],[pts1.0117]],U14Mruns[[#This Row],[pts2.0117]],U14Mruns[[#This Row],[pts0121]],U14Mruns[[#This Row],[pts1.0123]],U14Mruns[[#This Row],[pts2.0123]])</f>
        <v>250</v>
      </c>
      <c r="G20" s="5">
        <f>IFERROR(VLOOKUP(U14Mruns[[#This Row],[Card]],results0117[],4,FALSE),999)</f>
        <v>12</v>
      </c>
      <c r="H20" s="5">
        <f>VLOOKUP(U14Mruns[[#This Row],[pos1.0117]],pointstable[],2,FALSE)</f>
        <v>110</v>
      </c>
      <c r="I20" s="5">
        <f>IFERROR(VLOOKUP(U14Mruns[[#This Row],[Card]],results0117[],5,FALSE),999)</f>
        <v>24</v>
      </c>
      <c r="J20" s="5">
        <f>VLOOKUP(U14Mruns[[#This Row],[pos2.0117]],pointstable[],2,FALSE)</f>
        <v>41</v>
      </c>
      <c r="K20" s="5">
        <f>IFERROR(VLOOKUP(U14Mruns[[#This Row],[Card]],results0119[],4,FALSE),999)</f>
        <v>19</v>
      </c>
      <c r="L20" s="5">
        <f>VLOOKUP(U14Mruns[[#This Row],[pos1.0119]],pointstable[],2,FALSE)</f>
        <v>60</v>
      </c>
      <c r="M20" s="5">
        <f>IFERROR(VLOOKUP(U14Mruns[[#This Row],[Card]],results0119[],5,FALSE),999)</f>
        <v>22</v>
      </c>
      <c r="N20" s="5">
        <f>VLOOKUP(U14Mruns[[#This Row],[pos2.0119]],pointstable[],2,FALSE)</f>
        <v>47</v>
      </c>
      <c r="O20" s="5">
        <f>IFERROR(VLOOKUP(U14Mruns[[#This Row],[Card]],results0121[],3,FALSE),999)</f>
        <v>10</v>
      </c>
      <c r="P20" s="5">
        <f>VLOOKUP(U14Mruns[[#This Row],[pos0121]],pointstable[],2,FALSE)</f>
        <v>130</v>
      </c>
      <c r="Q20" s="5">
        <f>IFERROR(VLOOKUP(U14Mruns[[#This Row],[Card]],results0118[],4,FALSE),999)</f>
        <v>4</v>
      </c>
      <c r="R20" s="5">
        <f>VLOOKUP(U14Mruns[[#This Row],[pos1.0118]],pointstable[],2,FALSE)</f>
        <v>250</v>
      </c>
      <c r="S20" s="5">
        <f>IFERROR(VLOOKUP(U14Mruns[[#This Row],[Card]],results0118[],5,FALSE),999)</f>
        <v>22</v>
      </c>
      <c r="T20" s="5">
        <f>VLOOKUP(U14Mruns[[#This Row],[pos2.0118]],pointstable[],2,FALSE)</f>
        <v>47</v>
      </c>
      <c r="U20" s="5">
        <f>IFERROR(VLOOKUP(U14Mruns[[#This Row],[Card]],results0123[],4,FALSE),999)</f>
        <v>4</v>
      </c>
      <c r="V20" s="5">
        <f>VLOOKUP(U14Mruns[[#This Row],[pos1.0123]],pointstable[],2,FALSE)</f>
        <v>250</v>
      </c>
      <c r="W20" s="5">
        <f>IFERROR(VLOOKUP(U14Mruns[[#This Row],[Card]],results0123[],5,FALSE),999)</f>
        <v>14</v>
      </c>
      <c r="X20" s="5">
        <f>VLOOKUP(U14Mruns[[#This Row],[pos2.0123]],pointstable[],2,FALSE)</f>
        <v>90</v>
      </c>
      <c r="Y20" s="5">
        <f>IFERROR(VLOOKUP(U14Mruns[[#This Row],[Card]],results0120[],4,FALSE),999)</f>
        <v>14</v>
      </c>
      <c r="Z20" s="5">
        <f>VLOOKUP(U14Mruns[[#This Row],[pos1.0120]],pointstable[],2,FALSE)</f>
        <v>90</v>
      </c>
      <c r="AA20" s="5">
        <f>IFERROR(VLOOKUP(U14Mruns[[#This Row],[Card]],results0120[],5,FALSE),999)</f>
        <v>7</v>
      </c>
      <c r="AB20" s="5">
        <f>VLOOKUP(U14Mruns[[#This Row],[pos2.0120]],pointstable[],2,FALSE)</f>
        <v>180</v>
      </c>
    </row>
    <row r="21" spans="1:28" ht="14.45" x14ac:dyDescent="0.3">
      <c r="A21">
        <v>80685</v>
      </c>
      <c r="B21" t="s">
        <v>74</v>
      </c>
      <c r="C21" t="s">
        <v>15</v>
      </c>
      <c r="D21">
        <v>4</v>
      </c>
      <c r="E21" s="5">
        <f>MAX(U14Mruns[[#This Row],[pts1.0119]],U14Mruns[[#This Row],[pts2.0119]],U14Mruns[[#This Row],[pts1.0118]],U14Mruns[[#This Row],[pts2.0118]],U14Mruns[[#This Row],[pts1.0120]],U14Mruns[[#This Row],[pts2.0120]])</f>
        <v>225</v>
      </c>
      <c r="F21" s="5">
        <f>MAX(U14Mruns[[#This Row],[pts1.0117]],U14Mruns[[#This Row],[pts2.0117]],U14Mruns[[#This Row],[pts0121]],U14Mruns[[#This Row],[pts1.0123]],U14Mruns[[#This Row],[pts2.0123]])</f>
        <v>120</v>
      </c>
      <c r="G21" s="5">
        <f>IFERROR(VLOOKUP(U14Mruns[[#This Row],[Card]],results0117[],4,FALSE),999)</f>
        <v>11</v>
      </c>
      <c r="H21" s="5">
        <f>VLOOKUP(U14Mruns[[#This Row],[pos1.0117]],pointstable[],2,FALSE)</f>
        <v>120</v>
      </c>
      <c r="I21" s="5">
        <f>IFERROR(VLOOKUP(U14Mruns[[#This Row],[Card]],results0117[],5,FALSE),999)</f>
        <v>13</v>
      </c>
      <c r="J21" s="5">
        <f>VLOOKUP(U14Mruns[[#This Row],[pos2.0117]],pointstable[],2,FALSE)</f>
        <v>100</v>
      </c>
      <c r="K21" s="5">
        <f>IFERROR(VLOOKUP(U14Mruns[[#This Row],[Card]],results0119[],4,FALSE),999)</f>
        <v>7</v>
      </c>
      <c r="L21" s="5">
        <f>VLOOKUP(U14Mruns[[#This Row],[pos1.0119]],pointstable[],2,FALSE)</f>
        <v>180</v>
      </c>
      <c r="M21" s="5">
        <f>IFERROR(VLOOKUP(U14Mruns[[#This Row],[Card]],results0119[],5,FALSE),999)</f>
        <v>9</v>
      </c>
      <c r="N21" s="5">
        <f>VLOOKUP(U14Mruns[[#This Row],[pos2.0119]],pointstable[],2,FALSE)</f>
        <v>145</v>
      </c>
      <c r="O21" s="5">
        <f>IFERROR(VLOOKUP(U14Mruns[[#This Row],[Card]],results0121[],3,FALSE),999)</f>
        <v>999</v>
      </c>
      <c r="P21" s="5">
        <f>VLOOKUP(U14Mruns[[#This Row],[pos0121]],pointstable[],2,FALSE)</f>
        <v>0</v>
      </c>
      <c r="Q21" s="5">
        <f>IFERROR(VLOOKUP(U14Mruns[[#This Row],[Card]],results0118[],4,FALSE),999)</f>
        <v>25</v>
      </c>
      <c r="R21" s="5">
        <f>VLOOKUP(U14Mruns[[#This Row],[pos1.0118]],pointstable[],2,FALSE)</f>
        <v>38</v>
      </c>
      <c r="S21" s="5">
        <f>IFERROR(VLOOKUP(U14Mruns[[#This Row],[Card]],results0118[],5,FALSE),999)</f>
        <v>5</v>
      </c>
      <c r="T21" s="5">
        <f>VLOOKUP(U14Mruns[[#This Row],[pos2.0118]],pointstable[],2,FALSE)</f>
        <v>225</v>
      </c>
      <c r="U21" s="5">
        <f>IFERROR(VLOOKUP(U14Mruns[[#This Row],[Card]],results0123[],4,FALSE),999)</f>
        <v>39</v>
      </c>
      <c r="V21" s="5">
        <f>VLOOKUP(U14Mruns[[#This Row],[pos1.0123]],pointstable[],2,FALSE)</f>
        <v>21</v>
      </c>
      <c r="W21" s="5">
        <f>IFERROR(VLOOKUP(U14Mruns[[#This Row],[Card]],results0123[],5,FALSE),999)</f>
        <v>18</v>
      </c>
      <c r="X21" s="5">
        <f>VLOOKUP(U14Mruns[[#This Row],[pos2.0123]],pointstable[],2,FALSE)</f>
        <v>65</v>
      </c>
      <c r="Y21" s="5">
        <f>IFERROR(VLOOKUP(U14Mruns[[#This Row],[Card]],results0120[],4,FALSE),999)</f>
        <v>7</v>
      </c>
      <c r="Z21" s="5">
        <f>VLOOKUP(U14Mruns[[#This Row],[pos1.0120]],pointstable[],2,FALSE)</f>
        <v>180</v>
      </c>
      <c r="AA21" s="5">
        <f>IFERROR(VLOOKUP(U14Mruns[[#This Row],[Card]],results0120[],5,FALSE),999)</f>
        <v>10</v>
      </c>
      <c r="AB21" s="5">
        <f>VLOOKUP(U14Mruns[[#This Row],[pos2.0120]],pointstable[],2,FALSE)</f>
        <v>130</v>
      </c>
    </row>
    <row r="22" spans="1:28" ht="14.45" x14ac:dyDescent="0.3">
      <c r="A22">
        <v>77422</v>
      </c>
      <c r="B22" t="s">
        <v>84</v>
      </c>
      <c r="C22" t="s">
        <v>54</v>
      </c>
      <c r="D22">
        <v>4</v>
      </c>
      <c r="E22" s="5">
        <f>MAX(U14Mruns[[#This Row],[pts1.0119]],U14Mruns[[#This Row],[pts2.0119]],U14Mruns[[#This Row],[pts1.0118]],U14Mruns[[#This Row],[pts2.0118]],U14Mruns[[#This Row],[pts1.0120]],U14Mruns[[#This Row],[pts2.0120]])</f>
        <v>47</v>
      </c>
      <c r="F22" s="5">
        <f>MAX(U14Mruns[[#This Row],[pts1.0117]],U14Mruns[[#This Row],[pts2.0117]],U14Mruns[[#This Row],[pts0121]],U14Mruns[[#This Row],[pts1.0123]],U14Mruns[[#This Row],[pts2.0123]])</f>
        <v>120</v>
      </c>
      <c r="G22" s="5">
        <f>IFERROR(VLOOKUP(U14Mruns[[#This Row],[Card]],results0117[],4,FALSE),999)</f>
        <v>999</v>
      </c>
      <c r="H22" s="5">
        <f>VLOOKUP(U14Mruns[[#This Row],[pos1.0117]],pointstable[],2,FALSE)</f>
        <v>0</v>
      </c>
      <c r="I22" s="5">
        <f>IFERROR(VLOOKUP(U14Mruns[[#This Row],[Card]],results0117[],5,FALSE),999)</f>
        <v>11</v>
      </c>
      <c r="J22" s="5">
        <f>VLOOKUP(U14Mruns[[#This Row],[pos2.0117]],pointstable[],2,FALSE)</f>
        <v>120</v>
      </c>
      <c r="K22" s="5">
        <f>IFERROR(VLOOKUP(U14Mruns[[#This Row],[Card]],results0119[],4,FALSE),999)</f>
        <v>999</v>
      </c>
      <c r="L22" s="5">
        <f>VLOOKUP(U14Mruns[[#This Row],[pos1.0119]],pointstable[],2,FALSE)</f>
        <v>0</v>
      </c>
      <c r="M22" s="5">
        <f>IFERROR(VLOOKUP(U14Mruns[[#This Row],[Card]],results0119[],5,FALSE),999)</f>
        <v>27</v>
      </c>
      <c r="N22" s="5">
        <f>VLOOKUP(U14Mruns[[#This Row],[pos2.0119]],pointstable[],2,FALSE)</f>
        <v>34</v>
      </c>
      <c r="O22" s="5">
        <f>IFERROR(VLOOKUP(U14Mruns[[#This Row],[Card]],results0121[],3,FALSE),999)</f>
        <v>21</v>
      </c>
      <c r="P22" s="5">
        <f>VLOOKUP(U14Mruns[[#This Row],[pos0121]],pointstable[],2,FALSE)</f>
        <v>51</v>
      </c>
      <c r="Q22" s="5">
        <f>IFERROR(VLOOKUP(U14Mruns[[#This Row],[Card]],results0118[],4,FALSE),999)</f>
        <v>28</v>
      </c>
      <c r="R22" s="5">
        <f>VLOOKUP(U14Mruns[[#This Row],[pos1.0118]],pointstable[],2,FALSE)</f>
        <v>32</v>
      </c>
      <c r="S22" s="5">
        <f>IFERROR(VLOOKUP(U14Mruns[[#This Row],[Card]],results0118[],5,FALSE),999)</f>
        <v>31</v>
      </c>
      <c r="T22" s="5">
        <f>VLOOKUP(U14Mruns[[#This Row],[pos2.0118]],pointstable[],2,FALSE)</f>
        <v>29</v>
      </c>
      <c r="U22" s="5">
        <f>IFERROR(VLOOKUP(U14Mruns[[#This Row],[Card]],results0123[],4,FALSE),999)</f>
        <v>17</v>
      </c>
      <c r="V22" s="5">
        <f>VLOOKUP(U14Mruns[[#This Row],[pos1.0123]],pointstable[],2,FALSE)</f>
        <v>70</v>
      </c>
      <c r="W22" s="5">
        <f>IFERROR(VLOOKUP(U14Mruns[[#This Row],[Card]],results0123[],5,FALSE),999)</f>
        <v>12</v>
      </c>
      <c r="X22" s="5">
        <f>VLOOKUP(U14Mruns[[#This Row],[pos2.0123]],pointstable[],2,FALSE)</f>
        <v>110</v>
      </c>
      <c r="Y22" s="5">
        <f>IFERROR(VLOOKUP(U14Mruns[[#This Row],[Card]],results0120[],4,FALSE),999)</f>
        <v>71</v>
      </c>
      <c r="Z22" s="5">
        <f>VLOOKUP(U14Mruns[[#This Row],[pos1.0120]],pointstable[],2,FALSE)</f>
        <v>0</v>
      </c>
      <c r="AA22" s="5">
        <f>IFERROR(VLOOKUP(U14Mruns[[#This Row],[Card]],results0120[],5,FALSE),999)</f>
        <v>22</v>
      </c>
      <c r="AB22" s="5">
        <f>VLOOKUP(U14Mruns[[#This Row],[pos2.0120]],pointstable[],2,FALSE)</f>
        <v>47</v>
      </c>
    </row>
    <row r="23" spans="1:28" ht="14.45" x14ac:dyDescent="0.3">
      <c r="A23">
        <v>80713</v>
      </c>
      <c r="B23" t="s">
        <v>21</v>
      </c>
      <c r="C23" t="s">
        <v>22</v>
      </c>
      <c r="D23">
        <v>4</v>
      </c>
      <c r="E23" s="5">
        <f>MAX(U14Mruns[[#This Row],[pts1.0119]],U14Mruns[[#This Row],[pts2.0119]],U14Mruns[[#This Row],[pts1.0118]],U14Mruns[[#This Row],[pts2.0118]],U14Mruns[[#This Row],[pts1.0120]],U14Mruns[[#This Row],[pts2.0120]])</f>
        <v>500</v>
      </c>
      <c r="F23" s="5">
        <f>MAX(U14Mruns[[#This Row],[pts1.0117]],U14Mruns[[#This Row],[pts2.0117]],U14Mruns[[#This Row],[pts0121]],U14Mruns[[#This Row],[pts1.0123]],U14Mruns[[#This Row],[pts2.0123]])</f>
        <v>180</v>
      </c>
      <c r="G23" s="5">
        <f>IFERROR(VLOOKUP(U14Mruns[[#This Row],[Card]],results0117[],4,FALSE),999)</f>
        <v>999</v>
      </c>
      <c r="H23" s="5">
        <f>VLOOKUP(U14Mruns[[#This Row],[pos1.0117]],pointstable[],2,FALSE)</f>
        <v>0</v>
      </c>
      <c r="I23" s="5">
        <f>IFERROR(VLOOKUP(U14Mruns[[#This Row],[Card]],results0117[],5,FALSE),999)</f>
        <v>12</v>
      </c>
      <c r="J23" s="5">
        <f>VLOOKUP(U14Mruns[[#This Row],[pos2.0117]],pointstable[],2,FALSE)</f>
        <v>110</v>
      </c>
      <c r="K23" s="5">
        <f>IFERROR(VLOOKUP(U14Mruns[[#This Row],[Card]],results0119[],4,FALSE),999)</f>
        <v>1</v>
      </c>
      <c r="L23" s="5">
        <f>VLOOKUP(U14Mruns[[#This Row],[pos1.0119]],pointstable[],2,FALSE)</f>
        <v>500</v>
      </c>
      <c r="M23" s="5">
        <f>IFERROR(VLOOKUP(U14Mruns[[#This Row],[Card]],results0119[],5,FALSE),999)</f>
        <v>8</v>
      </c>
      <c r="N23" s="5">
        <f>VLOOKUP(U14Mruns[[#This Row],[pos2.0119]],pointstable[],2,FALSE)</f>
        <v>160</v>
      </c>
      <c r="O23" s="5">
        <f>IFERROR(VLOOKUP(U14Mruns[[#This Row],[Card]],results0121[],3,FALSE),999)</f>
        <v>13</v>
      </c>
      <c r="P23" s="5">
        <f>VLOOKUP(U14Mruns[[#This Row],[pos0121]],pointstable[],2,FALSE)</f>
        <v>100</v>
      </c>
      <c r="Q23" s="5">
        <f>IFERROR(VLOOKUP(U14Mruns[[#This Row],[Card]],results0118[],4,FALSE),999)</f>
        <v>7</v>
      </c>
      <c r="R23" s="5">
        <f>VLOOKUP(U14Mruns[[#This Row],[pos1.0118]],pointstable[],2,FALSE)</f>
        <v>180</v>
      </c>
      <c r="S23" s="5">
        <f>IFERROR(VLOOKUP(U14Mruns[[#This Row],[Card]],results0118[],5,FALSE),999)</f>
        <v>6</v>
      </c>
      <c r="T23" s="5">
        <f>VLOOKUP(U14Mruns[[#This Row],[pos2.0118]],pointstable[],2,FALSE)</f>
        <v>200</v>
      </c>
      <c r="U23" s="5">
        <f>IFERROR(VLOOKUP(U14Mruns[[#This Row],[Card]],results0123[],4,FALSE),999)</f>
        <v>7</v>
      </c>
      <c r="V23" s="5">
        <f>VLOOKUP(U14Mruns[[#This Row],[pos1.0123]],pointstable[],2,FALSE)</f>
        <v>180</v>
      </c>
      <c r="W23" s="5">
        <f>IFERROR(VLOOKUP(U14Mruns[[#This Row],[Card]],results0123[],5,FALSE),999)</f>
        <v>8</v>
      </c>
      <c r="X23" s="5">
        <f>VLOOKUP(U14Mruns[[#This Row],[pos2.0123]],pointstable[],2,FALSE)</f>
        <v>160</v>
      </c>
      <c r="Y23" s="5">
        <f>IFERROR(VLOOKUP(U14Mruns[[#This Row],[Card]],results0120[],4,FALSE),999)</f>
        <v>999</v>
      </c>
      <c r="Z23" s="5">
        <f>VLOOKUP(U14Mruns[[#This Row],[pos1.0120]],pointstable[],2,FALSE)</f>
        <v>0</v>
      </c>
      <c r="AA23" s="5">
        <f>IFERROR(VLOOKUP(U14Mruns[[#This Row],[Card]],results0120[],5,FALSE),999)</f>
        <v>6</v>
      </c>
      <c r="AB23" s="5">
        <f>VLOOKUP(U14Mruns[[#This Row],[pos2.0120]],pointstable[],2,FALSE)</f>
        <v>200</v>
      </c>
    </row>
    <row r="24" spans="1:28" ht="14.45" x14ac:dyDescent="0.3">
      <c r="A24">
        <v>80669</v>
      </c>
      <c r="B24" t="s">
        <v>70</v>
      </c>
      <c r="C24" t="s">
        <v>15</v>
      </c>
      <c r="D24">
        <v>4</v>
      </c>
      <c r="E24" s="5">
        <f>MAX(U14Mruns[[#This Row],[pts1.0119]],U14Mruns[[#This Row],[pts2.0119]],U14Mruns[[#This Row],[pts1.0118]],U14Mruns[[#This Row],[pts2.0118]],U14Mruns[[#This Row],[pts1.0120]],U14Mruns[[#This Row],[pts2.0120]])</f>
        <v>225</v>
      </c>
      <c r="F24" s="5">
        <f>MAX(U14Mruns[[#This Row],[pts1.0117]],U14Mruns[[#This Row],[pts2.0117]],U14Mruns[[#This Row],[pts0121]],U14Mruns[[#This Row],[pts1.0123]],U14Mruns[[#This Row],[pts2.0123]])</f>
        <v>90</v>
      </c>
      <c r="G24" s="5">
        <f>IFERROR(VLOOKUP(U14Mruns[[#This Row],[Card]],results0117[],4,FALSE),999)</f>
        <v>14</v>
      </c>
      <c r="H24" s="5">
        <f>VLOOKUP(U14Mruns[[#This Row],[pos1.0117]],pointstable[],2,FALSE)</f>
        <v>90</v>
      </c>
      <c r="I24" s="5">
        <f>IFERROR(VLOOKUP(U14Mruns[[#This Row],[Card]],results0117[],5,FALSE),999)</f>
        <v>27</v>
      </c>
      <c r="J24" s="5">
        <f>VLOOKUP(U14Mruns[[#This Row],[pos2.0117]],pointstable[],2,FALSE)</f>
        <v>34</v>
      </c>
      <c r="K24" s="5">
        <f>IFERROR(VLOOKUP(U14Mruns[[#This Row],[Card]],results0119[],4,FALSE),999)</f>
        <v>11</v>
      </c>
      <c r="L24" s="5">
        <f>VLOOKUP(U14Mruns[[#This Row],[pos1.0119]],pointstable[],2,FALSE)</f>
        <v>120</v>
      </c>
      <c r="M24" s="5">
        <f>IFERROR(VLOOKUP(U14Mruns[[#This Row],[Card]],results0119[],5,FALSE),999)</f>
        <v>11</v>
      </c>
      <c r="N24" s="5">
        <f>VLOOKUP(U14Mruns[[#This Row],[pos2.0119]],pointstable[],2,FALSE)</f>
        <v>120</v>
      </c>
      <c r="O24" s="5">
        <f>IFERROR(VLOOKUP(U14Mruns[[#This Row],[Card]],results0121[],3,FALSE),999)</f>
        <v>14</v>
      </c>
      <c r="P24" s="5">
        <f>VLOOKUP(U14Mruns[[#This Row],[pos0121]],pointstable[],2,FALSE)</f>
        <v>90</v>
      </c>
      <c r="Q24" s="5">
        <f>IFERROR(VLOOKUP(U14Mruns[[#This Row],[Card]],results0118[],4,FALSE),999)</f>
        <v>5</v>
      </c>
      <c r="R24" s="5">
        <f>VLOOKUP(U14Mruns[[#This Row],[pos1.0118]],pointstable[],2,FALSE)</f>
        <v>225</v>
      </c>
      <c r="S24" s="5">
        <f>IFERROR(VLOOKUP(U14Mruns[[#This Row],[Card]],results0118[],5,FALSE),999)</f>
        <v>8</v>
      </c>
      <c r="T24" s="5">
        <f>VLOOKUP(U14Mruns[[#This Row],[pos2.0118]],pointstable[],2,FALSE)</f>
        <v>160</v>
      </c>
      <c r="U24" s="5">
        <f>IFERROR(VLOOKUP(U14Mruns[[#This Row],[Card]],results0123[],4,FALSE),999)</f>
        <v>24</v>
      </c>
      <c r="V24" s="5">
        <f>VLOOKUP(U14Mruns[[#This Row],[pos1.0123]],pointstable[],2,FALSE)</f>
        <v>41</v>
      </c>
      <c r="W24" s="5">
        <f>IFERROR(VLOOKUP(U14Mruns[[#This Row],[Card]],results0123[],5,FALSE),999)</f>
        <v>23</v>
      </c>
      <c r="X24" s="5">
        <f>VLOOKUP(U14Mruns[[#This Row],[pos2.0123]],pointstable[],2,FALSE)</f>
        <v>44</v>
      </c>
      <c r="Y24" s="5">
        <f>IFERROR(VLOOKUP(U14Mruns[[#This Row],[Card]],results0120[],4,FALSE),999)</f>
        <v>48</v>
      </c>
      <c r="Z24" s="5">
        <f>VLOOKUP(U14Mruns[[#This Row],[pos1.0120]],pointstable[],2,FALSE)</f>
        <v>12</v>
      </c>
      <c r="AA24" s="5">
        <f>IFERROR(VLOOKUP(U14Mruns[[#This Row],[Card]],results0120[],5,FALSE),999)</f>
        <v>23</v>
      </c>
      <c r="AB24" s="5">
        <f>VLOOKUP(U14Mruns[[#This Row],[pos2.0120]],pointstable[],2,FALSE)</f>
        <v>44</v>
      </c>
    </row>
    <row r="25" spans="1:28" ht="14.45" x14ac:dyDescent="0.3">
      <c r="A25">
        <v>75018</v>
      </c>
      <c r="B25" t="s">
        <v>60</v>
      </c>
      <c r="C25" t="s">
        <v>61</v>
      </c>
      <c r="D25">
        <v>4</v>
      </c>
      <c r="E25" s="5">
        <f>MAX(U14Mruns[[#This Row],[pts1.0119]],U14Mruns[[#This Row],[pts2.0119]],U14Mruns[[#This Row],[pts1.0118]],U14Mruns[[#This Row],[pts2.0118]],U14Mruns[[#This Row],[pts1.0120]],U14Mruns[[#This Row],[pts2.0120]])</f>
        <v>160</v>
      </c>
      <c r="F25" s="5">
        <f>MAX(U14Mruns[[#This Row],[pts1.0117]],U14Mruns[[#This Row],[pts2.0117]],U14Mruns[[#This Row],[pts0121]],U14Mruns[[#This Row],[pts1.0123]],U14Mruns[[#This Row],[pts2.0123]])</f>
        <v>90</v>
      </c>
      <c r="G25" s="5">
        <f>IFERROR(VLOOKUP(U14Mruns[[#This Row],[Card]],results0117[],4,FALSE),999)</f>
        <v>19</v>
      </c>
      <c r="H25" s="5">
        <f>VLOOKUP(U14Mruns[[#This Row],[pos1.0117]],pointstable[],2,FALSE)</f>
        <v>60</v>
      </c>
      <c r="I25" s="5">
        <f>IFERROR(VLOOKUP(U14Mruns[[#This Row],[Card]],results0117[],5,FALSE),999)</f>
        <v>14</v>
      </c>
      <c r="J25" s="5">
        <f>VLOOKUP(U14Mruns[[#This Row],[pos2.0117]],pointstable[],2,FALSE)</f>
        <v>90</v>
      </c>
      <c r="K25" s="5">
        <f>IFERROR(VLOOKUP(U14Mruns[[#This Row],[Card]],results0119[],4,FALSE),999)</f>
        <v>999</v>
      </c>
      <c r="L25" s="5">
        <f>VLOOKUP(U14Mruns[[#This Row],[pos1.0119]],pointstable[],2,FALSE)</f>
        <v>0</v>
      </c>
      <c r="M25" s="5">
        <f>IFERROR(VLOOKUP(U14Mruns[[#This Row],[Card]],results0119[],5,FALSE),999)</f>
        <v>33</v>
      </c>
      <c r="N25" s="5">
        <f>VLOOKUP(U14Mruns[[#This Row],[pos2.0119]],pointstable[],2,FALSE)</f>
        <v>27</v>
      </c>
      <c r="O25" s="5">
        <f>IFERROR(VLOOKUP(U14Mruns[[#This Row],[Card]],results0121[],3,FALSE),999)</f>
        <v>16</v>
      </c>
      <c r="P25" s="5">
        <f>VLOOKUP(U14Mruns[[#This Row],[pos0121]],pointstable[],2,FALSE)</f>
        <v>75</v>
      </c>
      <c r="Q25" s="5">
        <f>IFERROR(VLOOKUP(U14Mruns[[#This Row],[Card]],results0118[],4,FALSE),999)</f>
        <v>31</v>
      </c>
      <c r="R25" s="5">
        <f>VLOOKUP(U14Mruns[[#This Row],[pos1.0118]],pointstable[],2,FALSE)</f>
        <v>29</v>
      </c>
      <c r="S25" s="5">
        <f>IFERROR(VLOOKUP(U14Mruns[[#This Row],[Card]],results0118[],5,FALSE),999)</f>
        <v>23</v>
      </c>
      <c r="T25" s="5">
        <f>VLOOKUP(U14Mruns[[#This Row],[pos2.0118]],pointstable[],2,FALSE)</f>
        <v>44</v>
      </c>
      <c r="U25" s="5">
        <f>IFERROR(VLOOKUP(U14Mruns[[#This Row],[Card]],results0123[],4,FALSE),999)</f>
        <v>34</v>
      </c>
      <c r="V25" s="5">
        <f>VLOOKUP(U14Mruns[[#This Row],[pos1.0123]],pointstable[],2,FALSE)</f>
        <v>26</v>
      </c>
      <c r="W25" s="5">
        <f>IFERROR(VLOOKUP(U14Mruns[[#This Row],[Card]],results0123[],5,FALSE),999)</f>
        <v>999</v>
      </c>
      <c r="X25" s="5">
        <f>VLOOKUP(U14Mruns[[#This Row],[pos2.0123]],pointstable[],2,FALSE)</f>
        <v>0</v>
      </c>
      <c r="Y25" s="5">
        <f>IFERROR(VLOOKUP(U14Mruns[[#This Row],[Card]],results0120[],4,FALSE),999)</f>
        <v>8</v>
      </c>
      <c r="Z25" s="5">
        <f>VLOOKUP(U14Mruns[[#This Row],[pos1.0120]],pointstable[],2,FALSE)</f>
        <v>160</v>
      </c>
      <c r="AA25" s="5">
        <f>IFERROR(VLOOKUP(U14Mruns[[#This Row],[Card]],results0120[],5,FALSE),999)</f>
        <v>9</v>
      </c>
      <c r="AB25" s="5">
        <f>VLOOKUP(U14Mruns[[#This Row],[pos2.0120]],pointstable[],2,FALSE)</f>
        <v>145</v>
      </c>
    </row>
    <row r="26" spans="1:28" ht="14.45" x14ac:dyDescent="0.3">
      <c r="A26">
        <v>80683</v>
      </c>
      <c r="B26" t="s">
        <v>67</v>
      </c>
      <c r="C26" t="s">
        <v>15</v>
      </c>
      <c r="D26">
        <v>4</v>
      </c>
      <c r="E26" s="5">
        <f>MAX(U14Mruns[[#This Row],[pts1.0119]],U14Mruns[[#This Row],[pts2.0119]],U14Mruns[[#This Row],[pts1.0118]],U14Mruns[[#This Row],[pts2.0118]],U14Mruns[[#This Row],[pts1.0120]],U14Mruns[[#This Row],[pts2.0120]])</f>
        <v>130</v>
      </c>
      <c r="F26" s="5">
        <f>MAX(U14Mruns[[#This Row],[pts1.0117]],U14Mruns[[#This Row],[pts2.0117]],U14Mruns[[#This Row],[pts0121]],U14Mruns[[#This Row],[pts1.0123]],U14Mruns[[#This Row],[pts2.0123]])</f>
        <v>120</v>
      </c>
      <c r="G26" s="5">
        <f>IFERROR(VLOOKUP(U14Mruns[[#This Row],[Card]],results0117[],4,FALSE),999)</f>
        <v>15</v>
      </c>
      <c r="H26" s="5">
        <f>VLOOKUP(U14Mruns[[#This Row],[pos1.0117]],pointstable[],2,FALSE)</f>
        <v>80</v>
      </c>
      <c r="I26" s="5">
        <f>IFERROR(VLOOKUP(U14Mruns[[#This Row],[Card]],results0117[],5,FALSE),999)</f>
        <v>29</v>
      </c>
      <c r="J26" s="5">
        <f>VLOOKUP(U14Mruns[[#This Row],[pos2.0117]],pointstable[],2,FALSE)</f>
        <v>31</v>
      </c>
      <c r="K26" s="5">
        <f>IFERROR(VLOOKUP(U14Mruns[[#This Row],[Card]],results0119[],4,FALSE),999)</f>
        <v>25</v>
      </c>
      <c r="L26" s="5">
        <f>VLOOKUP(U14Mruns[[#This Row],[pos1.0119]],pointstable[],2,FALSE)</f>
        <v>38</v>
      </c>
      <c r="M26" s="5">
        <f>IFERROR(VLOOKUP(U14Mruns[[#This Row],[Card]],results0119[],5,FALSE),999)</f>
        <v>35</v>
      </c>
      <c r="N26" s="5">
        <f>VLOOKUP(U14Mruns[[#This Row],[pos2.0119]],pointstable[],2,FALSE)</f>
        <v>25</v>
      </c>
      <c r="O26" s="5">
        <f>IFERROR(VLOOKUP(U14Mruns[[#This Row],[Card]],results0121[],3,FALSE),999)</f>
        <v>15</v>
      </c>
      <c r="P26" s="5">
        <f>VLOOKUP(U14Mruns[[#This Row],[pos0121]],pointstable[],2,FALSE)</f>
        <v>80</v>
      </c>
      <c r="Q26" s="5">
        <f>IFERROR(VLOOKUP(U14Mruns[[#This Row],[Card]],results0118[],4,FALSE),999)</f>
        <v>10</v>
      </c>
      <c r="R26" s="5">
        <f>VLOOKUP(U14Mruns[[#This Row],[pos1.0118]],pointstable[],2,FALSE)</f>
        <v>130</v>
      </c>
      <c r="S26" s="5">
        <f>IFERROR(VLOOKUP(U14Mruns[[#This Row],[Card]],results0118[],5,FALSE),999)</f>
        <v>21</v>
      </c>
      <c r="T26" s="5">
        <f>VLOOKUP(U14Mruns[[#This Row],[pos2.0118]],pointstable[],2,FALSE)</f>
        <v>51</v>
      </c>
      <c r="U26" s="5">
        <f>IFERROR(VLOOKUP(U14Mruns[[#This Row],[Card]],results0123[],4,FALSE),999)</f>
        <v>14</v>
      </c>
      <c r="V26" s="5">
        <f>VLOOKUP(U14Mruns[[#This Row],[pos1.0123]],pointstable[],2,FALSE)</f>
        <v>90</v>
      </c>
      <c r="W26" s="5">
        <f>IFERROR(VLOOKUP(U14Mruns[[#This Row],[Card]],results0123[],5,FALSE),999)</f>
        <v>11</v>
      </c>
      <c r="X26" s="5">
        <f>VLOOKUP(U14Mruns[[#This Row],[pos2.0123]],pointstable[],2,FALSE)</f>
        <v>120</v>
      </c>
      <c r="Y26" s="5">
        <f>IFERROR(VLOOKUP(U14Mruns[[#This Row],[Card]],results0120[],4,FALSE),999)</f>
        <v>22</v>
      </c>
      <c r="Z26" s="5">
        <f>VLOOKUP(U14Mruns[[#This Row],[pos1.0120]],pointstable[],2,FALSE)</f>
        <v>47</v>
      </c>
      <c r="AA26" s="5">
        <f>IFERROR(VLOOKUP(U14Mruns[[#This Row],[Card]],results0120[],5,FALSE),999)</f>
        <v>65</v>
      </c>
      <c r="AB26" s="5">
        <f>VLOOKUP(U14Mruns[[#This Row],[pos2.0120]],pointstable[],2,FALSE)</f>
        <v>0</v>
      </c>
    </row>
    <row r="27" spans="1:28" ht="14.45" x14ac:dyDescent="0.3">
      <c r="A27">
        <v>85883</v>
      </c>
      <c r="B27" t="s">
        <v>51</v>
      </c>
      <c r="C27" t="s">
        <v>15</v>
      </c>
      <c r="D27">
        <v>4</v>
      </c>
      <c r="E27" s="5">
        <f>MAX(U14Mruns[[#This Row],[pts1.0119]],U14Mruns[[#This Row],[pts2.0119]],U14Mruns[[#This Row],[pts1.0118]],U14Mruns[[#This Row],[pts2.0118]],U14Mruns[[#This Row],[pts1.0120]],U14Mruns[[#This Row],[pts2.0120]])</f>
        <v>120</v>
      </c>
      <c r="F27" s="5">
        <f>MAX(U14Mruns[[#This Row],[pts1.0117]],U14Mruns[[#This Row],[pts2.0117]],U14Mruns[[#This Row],[pts0121]],U14Mruns[[#This Row],[pts1.0123]],U14Mruns[[#This Row],[pts2.0123]])</f>
        <v>120</v>
      </c>
      <c r="G27" s="5">
        <f>IFERROR(VLOOKUP(U14Mruns[[#This Row],[Card]],results0117[],4,FALSE),999)</f>
        <v>15</v>
      </c>
      <c r="H27" s="5">
        <f>VLOOKUP(U14Mruns[[#This Row],[pos1.0117]],pointstable[],2,FALSE)</f>
        <v>80</v>
      </c>
      <c r="I27" s="5">
        <f>IFERROR(VLOOKUP(U14Mruns[[#This Row],[Card]],results0117[],5,FALSE),999)</f>
        <v>999</v>
      </c>
      <c r="J27" s="5">
        <f>VLOOKUP(U14Mruns[[#This Row],[pos2.0117]],pointstable[],2,FALSE)</f>
        <v>0</v>
      </c>
      <c r="K27" s="5">
        <f>IFERROR(VLOOKUP(U14Mruns[[#This Row],[Card]],results0119[],4,FALSE),999)</f>
        <v>999</v>
      </c>
      <c r="L27" s="5">
        <f>VLOOKUP(U14Mruns[[#This Row],[pos1.0119]],pointstable[],2,FALSE)</f>
        <v>0</v>
      </c>
      <c r="M27" s="5">
        <f>IFERROR(VLOOKUP(U14Mruns[[#This Row],[Card]],results0119[],5,FALSE),999)</f>
        <v>62</v>
      </c>
      <c r="N27" s="5">
        <f>VLOOKUP(U14Mruns[[#This Row],[pos2.0119]],pointstable[],2,FALSE)</f>
        <v>0</v>
      </c>
      <c r="O27" s="5">
        <f>IFERROR(VLOOKUP(U14Mruns[[#This Row],[Card]],results0121[],3,FALSE),999)</f>
        <v>18</v>
      </c>
      <c r="P27" s="5">
        <f>VLOOKUP(U14Mruns[[#This Row],[pos0121]],pointstable[],2,FALSE)</f>
        <v>65</v>
      </c>
      <c r="Q27" s="5">
        <f>IFERROR(VLOOKUP(U14Mruns[[#This Row],[Card]],results0118[],4,FALSE),999)</f>
        <v>19</v>
      </c>
      <c r="R27" s="5">
        <f>VLOOKUP(U14Mruns[[#This Row],[pos1.0118]],pointstable[],2,FALSE)</f>
        <v>60</v>
      </c>
      <c r="S27" s="5">
        <f>IFERROR(VLOOKUP(U14Mruns[[#This Row],[Card]],results0118[],5,FALSE),999)</f>
        <v>39</v>
      </c>
      <c r="T27" s="5">
        <f>VLOOKUP(U14Mruns[[#This Row],[pos2.0118]],pointstable[],2,FALSE)</f>
        <v>21</v>
      </c>
      <c r="U27" s="5">
        <f>IFERROR(VLOOKUP(U14Mruns[[#This Row],[Card]],results0123[],4,FALSE),999)</f>
        <v>11</v>
      </c>
      <c r="V27" s="5">
        <f>VLOOKUP(U14Mruns[[#This Row],[pos1.0123]],pointstable[],2,FALSE)</f>
        <v>120</v>
      </c>
      <c r="W27" s="5">
        <f>IFERROR(VLOOKUP(U14Mruns[[#This Row],[Card]],results0123[],5,FALSE),999)</f>
        <v>999</v>
      </c>
      <c r="X27" s="5">
        <f>VLOOKUP(U14Mruns[[#This Row],[pos2.0123]],pointstable[],2,FALSE)</f>
        <v>0</v>
      </c>
      <c r="Y27" s="5">
        <f>IFERROR(VLOOKUP(U14Mruns[[#This Row],[Card]],results0120[],4,FALSE),999)</f>
        <v>11</v>
      </c>
      <c r="Z27" s="5">
        <f>VLOOKUP(U14Mruns[[#This Row],[pos1.0120]],pointstable[],2,FALSE)</f>
        <v>120</v>
      </c>
      <c r="AA27" s="5">
        <f>IFERROR(VLOOKUP(U14Mruns[[#This Row],[Card]],results0120[],5,FALSE),999)</f>
        <v>30</v>
      </c>
      <c r="AB27" s="5">
        <f>VLOOKUP(U14Mruns[[#This Row],[pos2.0120]],pointstable[],2,FALSE)</f>
        <v>30</v>
      </c>
    </row>
    <row r="28" spans="1:28" x14ac:dyDescent="0.25">
      <c r="A28">
        <v>80715</v>
      </c>
      <c r="B28" t="s">
        <v>65</v>
      </c>
      <c r="C28" t="s">
        <v>22</v>
      </c>
      <c r="D28">
        <v>4</v>
      </c>
      <c r="E28" s="5">
        <f>MAX(U14Mruns[[#This Row],[pts1.0119]],U14Mruns[[#This Row],[pts2.0119]],U14Mruns[[#This Row],[pts1.0118]],U14Mruns[[#This Row],[pts2.0118]],U14Mruns[[#This Row],[pts1.0120]],U14Mruns[[#This Row],[pts2.0120]])</f>
        <v>130</v>
      </c>
      <c r="F28" s="5">
        <f>MAX(U14Mruns[[#This Row],[pts1.0117]],U14Mruns[[#This Row],[pts2.0117]],U14Mruns[[#This Row],[pts0121]],U14Mruns[[#This Row],[pts1.0123]],U14Mruns[[#This Row],[pts2.0123]])</f>
        <v>130</v>
      </c>
      <c r="G28" s="5">
        <f>IFERROR(VLOOKUP(U14Mruns[[#This Row],[Card]],results0117[],4,FALSE),999)</f>
        <v>20</v>
      </c>
      <c r="H28" s="5">
        <f>VLOOKUP(U14Mruns[[#This Row],[pos1.0117]],pointstable[],2,FALSE)</f>
        <v>55</v>
      </c>
      <c r="I28" s="5">
        <f>IFERROR(VLOOKUP(U14Mruns[[#This Row],[Card]],results0117[],5,FALSE),999)</f>
        <v>18</v>
      </c>
      <c r="J28" s="5">
        <f>VLOOKUP(U14Mruns[[#This Row],[pos2.0117]],pointstable[],2,FALSE)</f>
        <v>65</v>
      </c>
      <c r="K28" s="5">
        <f>IFERROR(VLOOKUP(U14Mruns[[#This Row],[Card]],results0119[],4,FALSE),999)</f>
        <v>11</v>
      </c>
      <c r="L28" s="5">
        <f>VLOOKUP(U14Mruns[[#This Row],[pos1.0119]],pointstable[],2,FALSE)</f>
        <v>120</v>
      </c>
      <c r="M28" s="5">
        <f>IFERROR(VLOOKUP(U14Mruns[[#This Row],[Card]],results0119[],5,FALSE),999)</f>
        <v>999</v>
      </c>
      <c r="N28" s="5">
        <f>VLOOKUP(U14Mruns[[#This Row],[pos2.0119]],pointstable[],2,FALSE)</f>
        <v>0</v>
      </c>
      <c r="O28" s="5">
        <f>IFERROR(VLOOKUP(U14Mruns[[#This Row],[Card]],results0121[],3,FALSE),999)</f>
        <v>16</v>
      </c>
      <c r="P28" s="5">
        <f>VLOOKUP(U14Mruns[[#This Row],[pos0121]],pointstable[],2,FALSE)</f>
        <v>75</v>
      </c>
      <c r="Q28" s="5">
        <f>IFERROR(VLOOKUP(U14Mruns[[#This Row],[Card]],results0118[],4,FALSE),999)</f>
        <v>21</v>
      </c>
      <c r="R28" s="5">
        <f>VLOOKUP(U14Mruns[[#This Row],[pos1.0118]],pointstable[],2,FALSE)</f>
        <v>51</v>
      </c>
      <c r="S28" s="5">
        <f>IFERROR(VLOOKUP(U14Mruns[[#This Row],[Card]],results0118[],5,FALSE),999)</f>
        <v>10</v>
      </c>
      <c r="T28" s="5">
        <f>VLOOKUP(U14Mruns[[#This Row],[pos2.0118]],pointstable[],2,FALSE)</f>
        <v>130</v>
      </c>
      <c r="U28" s="5">
        <f>IFERROR(VLOOKUP(U14Mruns[[#This Row],[Card]],results0123[],4,FALSE),999)</f>
        <v>11</v>
      </c>
      <c r="V28" s="5">
        <f>VLOOKUP(U14Mruns[[#This Row],[pos1.0123]],pointstable[],2,FALSE)</f>
        <v>120</v>
      </c>
      <c r="W28" s="5">
        <f>IFERROR(VLOOKUP(U14Mruns[[#This Row],[Card]],results0123[],5,FALSE),999)</f>
        <v>10</v>
      </c>
      <c r="X28" s="5">
        <f>VLOOKUP(U14Mruns[[#This Row],[pos2.0123]],pointstable[],2,FALSE)</f>
        <v>130</v>
      </c>
      <c r="Y28" s="5">
        <f>IFERROR(VLOOKUP(U14Mruns[[#This Row],[Card]],results0120[],4,FALSE),999)</f>
        <v>10</v>
      </c>
      <c r="Z28" s="5">
        <f>VLOOKUP(U14Mruns[[#This Row],[pos1.0120]],pointstable[],2,FALSE)</f>
        <v>130</v>
      </c>
      <c r="AA28" s="5">
        <f>IFERROR(VLOOKUP(U14Mruns[[#This Row],[Card]],results0120[],5,FALSE),999)</f>
        <v>13</v>
      </c>
      <c r="AB28" s="5">
        <f>VLOOKUP(U14Mruns[[#This Row],[pos2.0120]],pointstable[],2,FALSE)</f>
        <v>100</v>
      </c>
    </row>
    <row r="29" spans="1:28" x14ac:dyDescent="0.25">
      <c r="A29">
        <v>80729</v>
      </c>
      <c r="B29" t="s">
        <v>90</v>
      </c>
      <c r="C29" t="s">
        <v>22</v>
      </c>
      <c r="D29">
        <v>4</v>
      </c>
      <c r="E29" s="5">
        <f>MAX(U14Mruns[[#This Row],[pts1.0119]],U14Mruns[[#This Row],[pts2.0119]],U14Mruns[[#This Row],[pts1.0118]],U14Mruns[[#This Row],[pts2.0118]],U14Mruns[[#This Row],[pts1.0120]],U14Mruns[[#This Row],[pts2.0120]])</f>
        <v>160</v>
      </c>
      <c r="F29" s="5">
        <f>MAX(U14Mruns[[#This Row],[pts1.0117]],U14Mruns[[#This Row],[pts2.0117]],U14Mruns[[#This Row],[pts0121]],U14Mruns[[#This Row],[pts1.0123]],U14Mruns[[#This Row],[pts2.0123]])</f>
        <v>65</v>
      </c>
      <c r="G29" s="5">
        <f>IFERROR(VLOOKUP(U14Mruns[[#This Row],[Card]],results0117[],4,FALSE),999)</f>
        <v>18</v>
      </c>
      <c r="H29" s="5">
        <f>VLOOKUP(U14Mruns[[#This Row],[pos1.0117]],pointstable[],2,FALSE)</f>
        <v>65</v>
      </c>
      <c r="I29" s="5">
        <f>IFERROR(VLOOKUP(U14Mruns[[#This Row],[Card]],results0117[],5,FALSE),999)</f>
        <v>23</v>
      </c>
      <c r="J29" s="5">
        <f>VLOOKUP(U14Mruns[[#This Row],[pos2.0117]],pointstable[],2,FALSE)</f>
        <v>44</v>
      </c>
      <c r="K29" s="5">
        <f>IFERROR(VLOOKUP(U14Mruns[[#This Row],[Card]],results0119[],4,FALSE),999)</f>
        <v>8</v>
      </c>
      <c r="L29" s="5">
        <f>VLOOKUP(U14Mruns[[#This Row],[pos1.0119]],pointstable[],2,FALSE)</f>
        <v>160</v>
      </c>
      <c r="M29" s="5">
        <f>IFERROR(VLOOKUP(U14Mruns[[#This Row],[Card]],results0119[],5,FALSE),999)</f>
        <v>19</v>
      </c>
      <c r="N29" s="5">
        <f>VLOOKUP(U14Mruns[[#This Row],[pos2.0119]],pointstable[],2,FALSE)</f>
        <v>60</v>
      </c>
      <c r="O29" s="5">
        <f>IFERROR(VLOOKUP(U14Mruns[[#This Row],[Card]],results0121[],3,FALSE),999)</f>
        <v>999</v>
      </c>
      <c r="P29" s="5">
        <f>VLOOKUP(U14Mruns[[#This Row],[pos0121]],pointstable[],2,FALSE)</f>
        <v>0</v>
      </c>
      <c r="Q29" s="5">
        <f>IFERROR(VLOOKUP(U14Mruns[[#This Row],[Card]],results0118[],4,FALSE),999)</f>
        <v>18</v>
      </c>
      <c r="R29" s="5">
        <f>VLOOKUP(U14Mruns[[#This Row],[pos1.0118]],pointstable[],2,FALSE)</f>
        <v>65</v>
      </c>
      <c r="S29" s="5">
        <f>IFERROR(VLOOKUP(U14Mruns[[#This Row],[Card]],results0118[],5,FALSE),999)</f>
        <v>33</v>
      </c>
      <c r="T29" s="5">
        <f>VLOOKUP(U14Mruns[[#This Row],[pos2.0118]],pointstable[],2,FALSE)</f>
        <v>27</v>
      </c>
      <c r="U29" s="5">
        <f>IFERROR(VLOOKUP(U14Mruns[[#This Row],[Card]],results0123[],4,FALSE),999)</f>
        <v>43</v>
      </c>
      <c r="V29" s="5">
        <f>VLOOKUP(U14Mruns[[#This Row],[pos1.0123]],pointstable[],2,FALSE)</f>
        <v>17</v>
      </c>
      <c r="W29" s="5">
        <f>IFERROR(VLOOKUP(U14Mruns[[#This Row],[Card]],results0123[],5,FALSE),999)</f>
        <v>19</v>
      </c>
      <c r="X29" s="5">
        <f>VLOOKUP(U14Mruns[[#This Row],[pos2.0123]],pointstable[],2,FALSE)</f>
        <v>60</v>
      </c>
      <c r="Y29" s="5">
        <f>IFERROR(VLOOKUP(U14Mruns[[#This Row],[Card]],results0120[],4,FALSE),999)</f>
        <v>18</v>
      </c>
      <c r="Z29" s="5">
        <f>VLOOKUP(U14Mruns[[#This Row],[pos1.0120]],pointstable[],2,FALSE)</f>
        <v>65</v>
      </c>
      <c r="AA29" s="5">
        <f>IFERROR(VLOOKUP(U14Mruns[[#This Row],[Card]],results0120[],5,FALSE),999)</f>
        <v>28</v>
      </c>
      <c r="AB29" s="5">
        <f>VLOOKUP(U14Mruns[[#This Row],[pos2.0120]],pointstable[],2,FALSE)</f>
        <v>32</v>
      </c>
    </row>
    <row r="30" spans="1:28" x14ac:dyDescent="0.25">
      <c r="A30">
        <v>82186</v>
      </c>
      <c r="B30" t="s">
        <v>114</v>
      </c>
      <c r="C30" t="s">
        <v>15</v>
      </c>
      <c r="D30">
        <v>4</v>
      </c>
      <c r="E30" s="5">
        <f>MAX(U14Mruns[[#This Row],[pts1.0119]],U14Mruns[[#This Row],[pts2.0119]],U14Mruns[[#This Row],[pts1.0118]],U14Mruns[[#This Row],[pts2.0118]],U14Mruns[[#This Row],[pts1.0120]],U14Mruns[[#This Row],[pts2.0120]])</f>
        <v>51</v>
      </c>
      <c r="F30" s="5">
        <f>MAX(U14Mruns[[#This Row],[pts1.0117]],U14Mruns[[#This Row],[pts2.0117]],U14Mruns[[#This Row],[pts0121]],U14Mruns[[#This Row],[pts1.0123]],U14Mruns[[#This Row],[pts2.0123]])</f>
        <v>55</v>
      </c>
      <c r="G30" s="5">
        <f>IFERROR(VLOOKUP(U14Mruns[[#This Row],[Card]],results0117[],4,FALSE),999)</f>
        <v>38</v>
      </c>
      <c r="H30" s="5">
        <f>VLOOKUP(U14Mruns[[#This Row],[pos1.0117]],pointstable[],2,FALSE)</f>
        <v>22</v>
      </c>
      <c r="I30" s="5">
        <f>IFERROR(VLOOKUP(U14Mruns[[#This Row],[Card]],results0117[],5,FALSE),999)</f>
        <v>20</v>
      </c>
      <c r="J30" s="5">
        <f>VLOOKUP(U14Mruns[[#This Row],[pos2.0117]],pointstable[],2,FALSE)</f>
        <v>55</v>
      </c>
      <c r="K30" s="5">
        <f>IFERROR(VLOOKUP(U14Mruns[[#This Row],[Card]],results0119[],4,FALSE),999)</f>
        <v>999</v>
      </c>
      <c r="L30" s="5">
        <f>VLOOKUP(U14Mruns[[#This Row],[pos1.0119]],pointstable[],2,FALSE)</f>
        <v>0</v>
      </c>
      <c r="M30" s="5">
        <f>IFERROR(VLOOKUP(U14Mruns[[#This Row],[Card]],results0119[],5,FALSE),999)</f>
        <v>21</v>
      </c>
      <c r="N30" s="5">
        <f>VLOOKUP(U14Mruns[[#This Row],[pos2.0119]],pointstable[],2,FALSE)</f>
        <v>51</v>
      </c>
      <c r="O30" s="5">
        <f>IFERROR(VLOOKUP(U14Mruns[[#This Row],[Card]],results0121[],3,FALSE),999)</f>
        <v>20</v>
      </c>
      <c r="P30" s="5">
        <f>VLOOKUP(U14Mruns[[#This Row],[pos0121]],pointstable[],2,FALSE)</f>
        <v>55</v>
      </c>
      <c r="Q30" s="5">
        <f>IFERROR(VLOOKUP(U14Mruns[[#This Row],[Card]],results0118[],4,FALSE),999)</f>
        <v>999</v>
      </c>
      <c r="R30" s="5">
        <f>VLOOKUP(U14Mruns[[#This Row],[pos1.0118]],pointstable[],2,FALSE)</f>
        <v>0</v>
      </c>
      <c r="S30" s="5">
        <f>IFERROR(VLOOKUP(U14Mruns[[#This Row],[Card]],results0118[],5,FALSE),999)</f>
        <v>32</v>
      </c>
      <c r="T30" s="5">
        <f>VLOOKUP(U14Mruns[[#This Row],[pos2.0118]],pointstable[],2,FALSE)</f>
        <v>28</v>
      </c>
      <c r="U30" s="5">
        <f>IFERROR(VLOOKUP(U14Mruns[[#This Row],[Card]],results0123[],4,FALSE),999)</f>
        <v>37</v>
      </c>
      <c r="V30" s="5">
        <f>VLOOKUP(U14Mruns[[#This Row],[pos1.0123]],pointstable[],2,FALSE)</f>
        <v>23</v>
      </c>
      <c r="W30" s="5">
        <f>IFERROR(VLOOKUP(U14Mruns[[#This Row],[Card]],results0123[],5,FALSE),999)</f>
        <v>999</v>
      </c>
      <c r="X30" s="5">
        <f>VLOOKUP(U14Mruns[[#This Row],[pos2.0123]],pointstable[],2,FALSE)</f>
        <v>0</v>
      </c>
      <c r="Y30" s="5">
        <f>IFERROR(VLOOKUP(U14Mruns[[#This Row],[Card]],results0120[],4,FALSE),999)</f>
        <v>28</v>
      </c>
      <c r="Z30" s="5">
        <f>VLOOKUP(U14Mruns[[#This Row],[pos1.0120]],pointstable[],2,FALSE)</f>
        <v>32</v>
      </c>
      <c r="AA30" s="5">
        <f>IFERROR(VLOOKUP(U14Mruns[[#This Row],[Card]],results0120[],5,FALSE),999)</f>
        <v>31</v>
      </c>
      <c r="AB30" s="5">
        <f>VLOOKUP(U14Mruns[[#This Row],[pos2.0120]],pointstable[],2,FALSE)</f>
        <v>29</v>
      </c>
    </row>
    <row r="31" spans="1:28" x14ac:dyDescent="0.25">
      <c r="A31">
        <v>80698</v>
      </c>
      <c r="B31" t="s">
        <v>30</v>
      </c>
      <c r="C31" t="s">
        <v>31</v>
      </c>
      <c r="D31">
        <v>4</v>
      </c>
      <c r="E31" s="5">
        <f>MAX(U14Mruns[[#This Row],[pts1.0119]],U14Mruns[[#This Row],[pts2.0119]],U14Mruns[[#This Row],[pts1.0118]],U14Mruns[[#This Row],[pts2.0118]],U14Mruns[[#This Row],[pts1.0120]],U14Mruns[[#This Row],[pts2.0120]])</f>
        <v>300</v>
      </c>
      <c r="F31" s="5">
        <f>MAX(U14Mruns[[#This Row],[pts1.0117]],U14Mruns[[#This Row],[pts2.0117]],U14Mruns[[#This Row],[pts0121]],U14Mruns[[#This Row],[pts1.0123]],U14Mruns[[#This Row],[pts2.0123]])</f>
        <v>200</v>
      </c>
      <c r="G31" s="5">
        <f>IFERROR(VLOOKUP(U14Mruns[[#This Row],[Card]],results0117[],4,FALSE),999)</f>
        <v>21</v>
      </c>
      <c r="H31" s="5">
        <f>VLOOKUP(U14Mruns[[#This Row],[pos1.0117]],pointstable[],2,FALSE)</f>
        <v>51</v>
      </c>
      <c r="I31" s="5">
        <f>IFERROR(VLOOKUP(U14Mruns[[#This Row],[Card]],results0117[],5,FALSE),999)</f>
        <v>999</v>
      </c>
      <c r="J31" s="5">
        <f>VLOOKUP(U14Mruns[[#This Row],[pos2.0117]],pointstable[],2,FALSE)</f>
        <v>0</v>
      </c>
      <c r="K31" s="5">
        <f>IFERROR(VLOOKUP(U14Mruns[[#This Row],[Card]],results0119[],4,FALSE),999)</f>
        <v>3</v>
      </c>
      <c r="L31" s="5">
        <f>VLOOKUP(U14Mruns[[#This Row],[pos1.0119]],pointstable[],2,FALSE)</f>
        <v>300</v>
      </c>
      <c r="M31" s="5">
        <f>IFERROR(VLOOKUP(U14Mruns[[#This Row],[Card]],results0119[],5,FALSE),999)</f>
        <v>13</v>
      </c>
      <c r="N31" s="5">
        <f>VLOOKUP(U14Mruns[[#This Row],[pos2.0119]],pointstable[],2,FALSE)</f>
        <v>100</v>
      </c>
      <c r="O31" s="5">
        <f>IFERROR(VLOOKUP(U14Mruns[[#This Row],[Card]],results0121[],3,FALSE),999)</f>
        <v>999</v>
      </c>
      <c r="P31" s="5">
        <f>VLOOKUP(U14Mruns[[#This Row],[pos0121]],pointstable[],2,FALSE)</f>
        <v>0</v>
      </c>
      <c r="Q31" s="5">
        <f>IFERROR(VLOOKUP(U14Mruns[[#This Row],[Card]],results0118[],4,FALSE),999)</f>
        <v>11</v>
      </c>
      <c r="R31" s="5">
        <f>VLOOKUP(U14Mruns[[#This Row],[pos1.0118]],pointstable[],2,FALSE)</f>
        <v>120</v>
      </c>
      <c r="S31" s="5">
        <f>IFERROR(VLOOKUP(U14Mruns[[#This Row],[Card]],results0118[],5,FALSE),999)</f>
        <v>25</v>
      </c>
      <c r="T31" s="5">
        <f>VLOOKUP(U14Mruns[[#This Row],[pos2.0118]],pointstable[],2,FALSE)</f>
        <v>38</v>
      </c>
      <c r="U31" s="5">
        <f>IFERROR(VLOOKUP(U14Mruns[[#This Row],[Card]],results0123[],4,FALSE),999)</f>
        <v>6</v>
      </c>
      <c r="V31" s="5">
        <f>VLOOKUP(U14Mruns[[#This Row],[pos1.0123]],pointstable[],2,FALSE)</f>
        <v>200</v>
      </c>
      <c r="W31" s="5">
        <f>IFERROR(VLOOKUP(U14Mruns[[#This Row],[Card]],results0123[],5,FALSE),999)</f>
        <v>999</v>
      </c>
      <c r="X31" s="5">
        <f>VLOOKUP(U14Mruns[[#This Row],[pos2.0123]],pointstable[],2,FALSE)</f>
        <v>0</v>
      </c>
      <c r="Y31" s="5">
        <f>IFERROR(VLOOKUP(U14Mruns[[#This Row],[Card]],results0120[],4,FALSE),999)</f>
        <v>999</v>
      </c>
      <c r="Z31" s="5">
        <f>VLOOKUP(U14Mruns[[#This Row],[pos1.0120]],pointstable[],2,FALSE)</f>
        <v>0</v>
      </c>
      <c r="AA31" s="5">
        <f>IFERROR(VLOOKUP(U14Mruns[[#This Row],[Card]],results0120[],5,FALSE),999)</f>
        <v>5</v>
      </c>
      <c r="AB31" s="5">
        <f>VLOOKUP(U14Mruns[[#This Row],[pos2.0120]],pointstable[],2,FALSE)</f>
        <v>225</v>
      </c>
    </row>
    <row r="32" spans="1:28" x14ac:dyDescent="0.25">
      <c r="A32">
        <v>85853</v>
      </c>
      <c r="B32" t="s">
        <v>82</v>
      </c>
      <c r="C32" t="s">
        <v>15</v>
      </c>
      <c r="D32">
        <v>5</v>
      </c>
      <c r="E32" s="5">
        <f>MAX(U14Mruns[[#This Row],[pts1.0119]],U14Mruns[[#This Row],[pts2.0119]],U14Mruns[[#This Row],[pts1.0118]],U14Mruns[[#This Row],[pts2.0118]],U14Mruns[[#This Row],[pts1.0120]],U14Mruns[[#This Row],[pts2.0120]])</f>
        <v>36</v>
      </c>
      <c r="F32" s="5">
        <f>MAX(U14Mruns[[#This Row],[pts1.0117]],U14Mruns[[#This Row],[pts2.0117]],U14Mruns[[#This Row],[pts0121]],U14Mruns[[#This Row],[pts1.0123]],U14Mruns[[#This Row],[pts2.0123]])</f>
        <v>51</v>
      </c>
      <c r="G32" s="5">
        <f>IFERROR(VLOOKUP(U14Mruns[[#This Row],[Card]],results0117[],4,FALSE),999)</f>
        <v>49</v>
      </c>
      <c r="H32" s="5">
        <f>VLOOKUP(U14Mruns[[#This Row],[pos1.0117]],pointstable[],2,FALSE)</f>
        <v>11</v>
      </c>
      <c r="I32" s="5">
        <f>IFERROR(VLOOKUP(U14Mruns[[#This Row],[Card]],results0117[],5,FALSE),999)</f>
        <v>21</v>
      </c>
      <c r="J32" s="5">
        <f>VLOOKUP(U14Mruns[[#This Row],[pos2.0117]],pointstable[],2,FALSE)</f>
        <v>51</v>
      </c>
      <c r="K32" s="5">
        <f>IFERROR(VLOOKUP(U14Mruns[[#This Row],[Card]],results0119[],4,FALSE),999)</f>
        <v>28</v>
      </c>
      <c r="L32" s="5">
        <f>VLOOKUP(U14Mruns[[#This Row],[pos1.0119]],pointstable[],2,FALSE)</f>
        <v>32</v>
      </c>
      <c r="M32" s="5">
        <f>IFERROR(VLOOKUP(U14Mruns[[#This Row],[Card]],results0119[],5,FALSE),999)</f>
        <v>37</v>
      </c>
      <c r="N32" s="5">
        <f>VLOOKUP(U14Mruns[[#This Row],[pos2.0119]],pointstable[],2,FALSE)</f>
        <v>23</v>
      </c>
      <c r="O32" s="5">
        <f>IFERROR(VLOOKUP(U14Mruns[[#This Row],[Card]],results0121[],3,FALSE),999)</f>
        <v>23</v>
      </c>
      <c r="P32" s="5">
        <f>VLOOKUP(U14Mruns[[#This Row],[pos0121]],pointstable[],2,FALSE)</f>
        <v>44</v>
      </c>
      <c r="Q32" s="5">
        <f>IFERROR(VLOOKUP(U14Mruns[[#This Row],[Card]],results0118[],4,FALSE),999)</f>
        <v>27</v>
      </c>
      <c r="R32" s="5">
        <f>VLOOKUP(U14Mruns[[#This Row],[pos1.0118]],pointstable[],2,FALSE)</f>
        <v>34</v>
      </c>
      <c r="S32" s="5">
        <f>IFERROR(VLOOKUP(U14Mruns[[#This Row],[Card]],results0118[],5,FALSE),999)</f>
        <v>84</v>
      </c>
      <c r="T32" s="5">
        <f>VLOOKUP(U14Mruns[[#This Row],[pos2.0118]],pointstable[],2,FALSE)</f>
        <v>0</v>
      </c>
      <c r="U32" s="5">
        <f>IFERROR(VLOOKUP(U14Mruns[[#This Row],[Card]],results0123[],4,FALSE),999)</f>
        <v>26</v>
      </c>
      <c r="V32" s="5">
        <f>VLOOKUP(U14Mruns[[#This Row],[pos1.0123]],pointstable[],2,FALSE)</f>
        <v>36</v>
      </c>
      <c r="W32" s="5">
        <f>IFERROR(VLOOKUP(U14Mruns[[#This Row],[Card]],results0123[],5,FALSE),999)</f>
        <v>999</v>
      </c>
      <c r="X32" s="5">
        <f>VLOOKUP(U14Mruns[[#This Row],[pos2.0123]],pointstable[],2,FALSE)</f>
        <v>0</v>
      </c>
      <c r="Y32" s="5">
        <f>IFERROR(VLOOKUP(U14Mruns[[#This Row],[Card]],results0120[],4,FALSE),999)</f>
        <v>32</v>
      </c>
      <c r="Z32" s="5">
        <f>VLOOKUP(U14Mruns[[#This Row],[pos1.0120]],pointstable[],2,FALSE)</f>
        <v>28</v>
      </c>
      <c r="AA32" s="5">
        <f>IFERROR(VLOOKUP(U14Mruns[[#This Row],[Card]],results0120[],5,FALSE),999)</f>
        <v>26</v>
      </c>
      <c r="AB32" s="5">
        <f>VLOOKUP(U14Mruns[[#This Row],[pos2.0120]],pointstable[],2,FALSE)</f>
        <v>36</v>
      </c>
    </row>
    <row r="33" spans="1:28" x14ac:dyDescent="0.25">
      <c r="A33">
        <v>80628</v>
      </c>
      <c r="B33" t="s">
        <v>58</v>
      </c>
      <c r="C33" t="s">
        <v>19</v>
      </c>
      <c r="D33">
        <v>4</v>
      </c>
      <c r="E33" s="5">
        <f>MAX(U14Mruns[[#This Row],[pts1.0119]],U14Mruns[[#This Row],[pts2.0119]],U14Mruns[[#This Row],[pts1.0118]],U14Mruns[[#This Row],[pts2.0118]],U14Mruns[[#This Row],[pts1.0120]],U14Mruns[[#This Row],[pts2.0120]])</f>
        <v>55</v>
      </c>
      <c r="F33" s="5">
        <f>MAX(U14Mruns[[#This Row],[pts1.0117]],U14Mruns[[#This Row],[pts2.0117]],U14Mruns[[#This Row],[pts0121]],U14Mruns[[#This Row],[pts1.0123]],U14Mruns[[#This Row],[pts2.0123]])</f>
        <v>47</v>
      </c>
      <c r="G33" s="5">
        <f>IFERROR(VLOOKUP(U14Mruns[[#This Row],[Card]],results0117[],4,FALSE),999)</f>
        <v>999</v>
      </c>
      <c r="H33" s="5">
        <f>VLOOKUP(U14Mruns[[#This Row],[pos1.0117]],pointstable[],2,FALSE)</f>
        <v>0</v>
      </c>
      <c r="I33" s="5">
        <f>IFERROR(VLOOKUP(U14Mruns[[#This Row],[Card]],results0117[],5,FALSE),999)</f>
        <v>999</v>
      </c>
      <c r="J33" s="5">
        <f>VLOOKUP(U14Mruns[[#This Row],[pos2.0117]],pointstable[],2,FALSE)</f>
        <v>0</v>
      </c>
      <c r="K33" s="5">
        <f>IFERROR(VLOOKUP(U14Mruns[[#This Row],[Card]],results0119[],4,FALSE),999)</f>
        <v>20</v>
      </c>
      <c r="L33" s="5">
        <f>VLOOKUP(U14Mruns[[#This Row],[pos1.0119]],pointstable[],2,FALSE)</f>
        <v>55</v>
      </c>
      <c r="M33" s="5">
        <f>IFERROR(VLOOKUP(U14Mruns[[#This Row],[Card]],results0119[],5,FALSE),999)</f>
        <v>999</v>
      </c>
      <c r="N33" s="5">
        <f>VLOOKUP(U14Mruns[[#This Row],[pos2.0119]],pointstable[],2,FALSE)</f>
        <v>0</v>
      </c>
      <c r="O33" s="5">
        <f>IFERROR(VLOOKUP(U14Mruns[[#This Row],[Card]],results0121[],3,FALSE),999)</f>
        <v>22</v>
      </c>
      <c r="P33" s="5">
        <f>VLOOKUP(U14Mruns[[#This Row],[pos0121]],pointstable[],2,FALSE)</f>
        <v>47</v>
      </c>
      <c r="Q33" s="5">
        <f>IFERROR(VLOOKUP(U14Mruns[[#This Row],[Card]],results0118[],4,FALSE),999)</f>
        <v>999</v>
      </c>
      <c r="R33" s="5">
        <f>VLOOKUP(U14Mruns[[#This Row],[pos1.0118]],pointstable[],2,FALSE)</f>
        <v>0</v>
      </c>
      <c r="S33" s="5">
        <f>IFERROR(VLOOKUP(U14Mruns[[#This Row],[Card]],results0118[],5,FALSE),999)</f>
        <v>999</v>
      </c>
      <c r="T33" s="5">
        <f>VLOOKUP(U14Mruns[[#This Row],[pos2.0118]],pointstable[],2,FALSE)</f>
        <v>0</v>
      </c>
      <c r="U33" s="5">
        <f>IFERROR(VLOOKUP(U14Mruns[[#This Row],[Card]],results0123[],4,FALSE),999)</f>
        <v>999</v>
      </c>
      <c r="V33" s="5">
        <f>VLOOKUP(U14Mruns[[#This Row],[pos1.0123]],pointstable[],2,FALSE)</f>
        <v>0</v>
      </c>
      <c r="W33" s="5">
        <f>IFERROR(VLOOKUP(U14Mruns[[#This Row],[Card]],results0123[],5,FALSE),999)</f>
        <v>999</v>
      </c>
      <c r="X33" s="5">
        <f>VLOOKUP(U14Mruns[[#This Row],[pos2.0123]],pointstable[],2,FALSE)</f>
        <v>0</v>
      </c>
      <c r="Y33" s="5">
        <f>IFERROR(VLOOKUP(U14Mruns[[#This Row],[Card]],results0120[],4,FALSE),999)</f>
        <v>999</v>
      </c>
      <c r="Z33" s="5">
        <f>VLOOKUP(U14Mruns[[#This Row],[pos1.0120]],pointstable[],2,FALSE)</f>
        <v>0</v>
      </c>
      <c r="AA33" s="5">
        <f>IFERROR(VLOOKUP(U14Mruns[[#This Row],[Card]],results0120[],5,FALSE),999)</f>
        <v>999</v>
      </c>
      <c r="AB33" s="5">
        <f>VLOOKUP(U14Mruns[[#This Row],[pos2.0120]],pointstable[],2,FALSE)</f>
        <v>0</v>
      </c>
    </row>
    <row r="34" spans="1:28" x14ac:dyDescent="0.25">
      <c r="A34">
        <v>81139</v>
      </c>
      <c r="B34" t="s">
        <v>177</v>
      </c>
      <c r="C34" t="s">
        <v>22</v>
      </c>
      <c r="D34">
        <v>4</v>
      </c>
      <c r="E34" s="5">
        <f>MAX(U14Mruns[[#This Row],[pts1.0119]],U14Mruns[[#This Row],[pts2.0119]],U14Mruns[[#This Row],[pts1.0118]],U14Mruns[[#This Row],[pts2.0118]],U14Mruns[[#This Row],[pts1.0120]],U14Mruns[[#This Row],[pts2.0120]])</f>
        <v>25</v>
      </c>
      <c r="F34" s="5">
        <f>MAX(U14Mruns[[#This Row],[pts1.0117]],U14Mruns[[#This Row],[pts2.0117]],U14Mruns[[#This Row],[pts0121]],U14Mruns[[#This Row],[pts1.0123]],U14Mruns[[#This Row],[pts2.0123]])</f>
        <v>47</v>
      </c>
      <c r="G34" s="5">
        <f>IFERROR(VLOOKUP(U14Mruns[[#This Row],[Card]],results0117[],4,FALSE),999)</f>
        <v>22</v>
      </c>
      <c r="H34" s="5">
        <f>VLOOKUP(U14Mruns[[#This Row],[pos1.0117]],pointstable[],2,FALSE)</f>
        <v>47</v>
      </c>
      <c r="I34" s="5">
        <f>IFERROR(VLOOKUP(U14Mruns[[#This Row],[Card]],results0117[],5,FALSE),999)</f>
        <v>32</v>
      </c>
      <c r="J34" s="5">
        <f>VLOOKUP(U14Mruns[[#This Row],[pos2.0117]],pointstable[],2,FALSE)</f>
        <v>28</v>
      </c>
      <c r="K34" s="5">
        <f>IFERROR(VLOOKUP(U14Mruns[[#This Row],[Card]],results0119[],4,FALSE),999)</f>
        <v>35</v>
      </c>
      <c r="L34" s="5">
        <f>VLOOKUP(U14Mruns[[#This Row],[pos1.0119]],pointstable[],2,FALSE)</f>
        <v>25</v>
      </c>
      <c r="M34" s="5">
        <f>IFERROR(VLOOKUP(U14Mruns[[#This Row],[Card]],results0119[],5,FALSE),999)</f>
        <v>69</v>
      </c>
      <c r="N34" s="5">
        <f>VLOOKUP(U14Mruns[[#This Row],[pos2.0119]],pointstable[],2,FALSE)</f>
        <v>0</v>
      </c>
      <c r="O34" s="5">
        <f>IFERROR(VLOOKUP(U14Mruns[[#This Row],[Card]],results0121[],3,FALSE),999)</f>
        <v>57</v>
      </c>
      <c r="P34" s="5">
        <f>VLOOKUP(U14Mruns[[#This Row],[pos0121]],pointstable[],2,FALSE)</f>
        <v>3</v>
      </c>
      <c r="Q34" s="5">
        <f>IFERROR(VLOOKUP(U14Mruns[[#This Row],[Card]],results0118[],4,FALSE),999)</f>
        <v>59</v>
      </c>
      <c r="R34" s="5">
        <f>VLOOKUP(U14Mruns[[#This Row],[pos1.0118]],pointstable[],2,FALSE)</f>
        <v>1</v>
      </c>
      <c r="S34" s="5">
        <f>IFERROR(VLOOKUP(U14Mruns[[#This Row],[Card]],results0118[],5,FALSE),999)</f>
        <v>64</v>
      </c>
      <c r="T34" s="5">
        <f>VLOOKUP(U14Mruns[[#This Row],[pos2.0118]],pointstable[],2,FALSE)</f>
        <v>0</v>
      </c>
      <c r="U34" s="5">
        <f>IFERROR(VLOOKUP(U14Mruns[[#This Row],[Card]],results0123[],4,FALSE),999)</f>
        <v>77</v>
      </c>
      <c r="V34" s="5">
        <f>VLOOKUP(U14Mruns[[#This Row],[pos1.0123]],pointstable[],2,FALSE)</f>
        <v>0</v>
      </c>
      <c r="W34" s="5">
        <f>IFERROR(VLOOKUP(U14Mruns[[#This Row],[Card]],results0123[],5,FALSE),999)</f>
        <v>58</v>
      </c>
      <c r="X34" s="5">
        <f>VLOOKUP(U14Mruns[[#This Row],[pos2.0123]],pointstable[],2,FALSE)</f>
        <v>2</v>
      </c>
      <c r="Y34" s="5">
        <f>IFERROR(VLOOKUP(U14Mruns[[#This Row],[Card]],results0120[],4,FALSE),999)</f>
        <v>999</v>
      </c>
      <c r="Z34" s="5">
        <f>VLOOKUP(U14Mruns[[#This Row],[pos1.0120]],pointstable[],2,FALSE)</f>
        <v>0</v>
      </c>
      <c r="AA34" s="5">
        <f>IFERROR(VLOOKUP(U14Mruns[[#This Row],[Card]],results0120[],5,FALSE),999)</f>
        <v>60</v>
      </c>
      <c r="AB34" s="5">
        <f>VLOOKUP(U14Mruns[[#This Row],[pos2.0120]],pointstable[],2,FALSE)</f>
        <v>1</v>
      </c>
    </row>
    <row r="35" spans="1:28" x14ac:dyDescent="0.25">
      <c r="A35">
        <v>74564</v>
      </c>
      <c r="B35" t="s">
        <v>100</v>
      </c>
      <c r="C35" t="s">
        <v>101</v>
      </c>
      <c r="D35">
        <v>5</v>
      </c>
      <c r="E35" s="5">
        <f>MAX(U14Mruns[[#This Row],[pts1.0119]],U14Mruns[[#This Row],[pts2.0119]],U14Mruns[[#This Row],[pts1.0118]],U14Mruns[[#This Row],[pts2.0118]],U14Mruns[[#This Row],[pts1.0120]],U14Mruns[[#This Row],[pts2.0120]])</f>
        <v>0</v>
      </c>
      <c r="F35" s="5">
        <f>MAX(U14Mruns[[#This Row],[pts1.0117]],U14Mruns[[#This Row],[pts2.0117]],U14Mruns[[#This Row],[pts0121]],U14Mruns[[#This Row],[pts1.0123]],U14Mruns[[#This Row],[pts2.0123]])</f>
        <v>47</v>
      </c>
      <c r="G35" s="5">
        <f>IFERROR(VLOOKUP(U14Mruns[[#This Row],[Card]],results0117[],4,FALSE),999)</f>
        <v>999</v>
      </c>
      <c r="H35" s="5">
        <f>VLOOKUP(U14Mruns[[#This Row],[pos1.0117]],pointstable[],2,FALSE)</f>
        <v>0</v>
      </c>
      <c r="I35" s="5">
        <f>IFERROR(VLOOKUP(U14Mruns[[#This Row],[Card]],results0117[],5,FALSE),999)</f>
        <v>22</v>
      </c>
      <c r="J35" s="5">
        <f>VLOOKUP(U14Mruns[[#This Row],[pos2.0117]],pointstable[],2,FALSE)</f>
        <v>47</v>
      </c>
      <c r="K35" s="5">
        <f>IFERROR(VLOOKUP(U14Mruns[[#This Row],[Card]],results0119[],4,FALSE),999)</f>
        <v>999</v>
      </c>
      <c r="L35" s="5">
        <f>VLOOKUP(U14Mruns[[#This Row],[pos1.0119]],pointstable[],2,FALSE)</f>
        <v>0</v>
      </c>
      <c r="M35" s="5">
        <f>IFERROR(VLOOKUP(U14Mruns[[#This Row],[Card]],results0119[],5,FALSE),999)</f>
        <v>999</v>
      </c>
      <c r="N35" s="5">
        <f>VLOOKUP(U14Mruns[[#This Row],[pos2.0119]],pointstable[],2,FALSE)</f>
        <v>0</v>
      </c>
      <c r="O35" s="5">
        <f>IFERROR(VLOOKUP(U14Mruns[[#This Row],[Card]],results0121[],3,FALSE),999)</f>
        <v>999</v>
      </c>
      <c r="P35" s="5">
        <f>VLOOKUP(U14Mruns[[#This Row],[pos0121]],pointstable[],2,FALSE)</f>
        <v>0</v>
      </c>
      <c r="Q35" s="5">
        <f>IFERROR(VLOOKUP(U14Mruns[[#This Row],[Card]],results0118[],4,FALSE),999)</f>
        <v>999</v>
      </c>
      <c r="R35" s="5">
        <f>VLOOKUP(U14Mruns[[#This Row],[pos1.0118]],pointstable[],2,FALSE)</f>
        <v>0</v>
      </c>
      <c r="S35" s="5">
        <f>IFERROR(VLOOKUP(U14Mruns[[#This Row],[Card]],results0118[],5,FALSE),999)</f>
        <v>999</v>
      </c>
      <c r="T35" s="5">
        <f>VLOOKUP(U14Mruns[[#This Row],[pos2.0118]],pointstable[],2,FALSE)</f>
        <v>0</v>
      </c>
      <c r="U35" s="5">
        <f>IFERROR(VLOOKUP(U14Mruns[[#This Row],[Card]],results0123[],4,FALSE),999)</f>
        <v>22</v>
      </c>
      <c r="V35" s="5">
        <f>VLOOKUP(U14Mruns[[#This Row],[pos1.0123]],pointstable[],2,FALSE)</f>
        <v>47</v>
      </c>
      <c r="W35" s="5">
        <f>IFERROR(VLOOKUP(U14Mruns[[#This Row],[Card]],results0123[],5,FALSE),999)</f>
        <v>26</v>
      </c>
      <c r="X35" s="5">
        <f>VLOOKUP(U14Mruns[[#This Row],[pos2.0123]],pointstable[],2,FALSE)</f>
        <v>36</v>
      </c>
      <c r="Y35" s="5">
        <f>IFERROR(VLOOKUP(U14Mruns[[#This Row],[Card]],results0120[],4,FALSE),999)</f>
        <v>999</v>
      </c>
      <c r="Z35" s="5">
        <f>VLOOKUP(U14Mruns[[#This Row],[pos1.0120]],pointstable[],2,FALSE)</f>
        <v>0</v>
      </c>
      <c r="AA35" s="5">
        <f>IFERROR(VLOOKUP(U14Mruns[[#This Row],[Card]],results0120[],5,FALSE),999)</f>
        <v>999</v>
      </c>
      <c r="AB35" s="5">
        <f>VLOOKUP(U14Mruns[[#This Row],[pos2.0120]],pointstable[],2,FALSE)</f>
        <v>0</v>
      </c>
    </row>
    <row r="36" spans="1:28" x14ac:dyDescent="0.25">
      <c r="A36">
        <v>80718</v>
      </c>
      <c r="B36" t="s">
        <v>94</v>
      </c>
      <c r="C36" t="s">
        <v>22</v>
      </c>
      <c r="D36">
        <v>4</v>
      </c>
      <c r="E36" s="5">
        <f>MAX(U14Mruns[[#This Row],[pts1.0119]],U14Mruns[[#This Row],[pts2.0119]],U14Mruns[[#This Row],[pts1.0118]],U14Mruns[[#This Row],[pts2.0118]],U14Mruns[[#This Row],[pts1.0120]],U14Mruns[[#This Row],[pts2.0120]])</f>
        <v>34</v>
      </c>
      <c r="F36" s="5">
        <f>MAX(U14Mruns[[#This Row],[pts1.0117]],U14Mruns[[#This Row],[pts2.0117]],U14Mruns[[#This Row],[pts0121]],U14Mruns[[#This Row],[pts1.0123]],U14Mruns[[#This Row],[pts2.0123]])</f>
        <v>44</v>
      </c>
      <c r="G36" s="5">
        <f>IFERROR(VLOOKUP(U14Mruns[[#This Row],[Card]],results0117[],4,FALSE),999)</f>
        <v>23</v>
      </c>
      <c r="H36" s="5">
        <f>VLOOKUP(U14Mruns[[#This Row],[pos1.0117]],pointstable[],2,FALSE)</f>
        <v>44</v>
      </c>
      <c r="I36" s="5">
        <f>IFERROR(VLOOKUP(U14Mruns[[#This Row],[Card]],results0117[],5,FALSE),999)</f>
        <v>36</v>
      </c>
      <c r="J36" s="5">
        <f>VLOOKUP(U14Mruns[[#This Row],[pos2.0117]],pointstable[],2,FALSE)</f>
        <v>24</v>
      </c>
      <c r="K36" s="5">
        <f>IFERROR(VLOOKUP(U14Mruns[[#This Row],[Card]],results0119[],4,FALSE),999)</f>
        <v>27</v>
      </c>
      <c r="L36" s="5">
        <f>VLOOKUP(U14Mruns[[#This Row],[pos1.0119]],pointstable[],2,FALSE)</f>
        <v>34</v>
      </c>
      <c r="M36" s="5">
        <f>IFERROR(VLOOKUP(U14Mruns[[#This Row],[Card]],results0119[],5,FALSE),999)</f>
        <v>46</v>
      </c>
      <c r="N36" s="5">
        <f>VLOOKUP(U14Mruns[[#This Row],[pos2.0119]],pointstable[],2,FALSE)</f>
        <v>14</v>
      </c>
      <c r="O36" s="5">
        <f>IFERROR(VLOOKUP(U14Mruns[[#This Row],[Card]],results0121[],3,FALSE),999)</f>
        <v>35</v>
      </c>
      <c r="P36" s="5">
        <f>VLOOKUP(U14Mruns[[#This Row],[pos0121]],pointstable[],2,FALSE)</f>
        <v>25</v>
      </c>
      <c r="Q36" s="5">
        <f>IFERROR(VLOOKUP(U14Mruns[[#This Row],[Card]],results0118[],4,FALSE),999)</f>
        <v>37</v>
      </c>
      <c r="R36" s="5">
        <f>VLOOKUP(U14Mruns[[#This Row],[pos1.0118]],pointstable[],2,FALSE)</f>
        <v>23</v>
      </c>
      <c r="S36" s="5">
        <f>IFERROR(VLOOKUP(U14Mruns[[#This Row],[Card]],results0118[],5,FALSE),999)</f>
        <v>43</v>
      </c>
      <c r="T36" s="5">
        <f>VLOOKUP(U14Mruns[[#This Row],[pos2.0118]],pointstable[],2,FALSE)</f>
        <v>17</v>
      </c>
      <c r="U36" s="5">
        <f>IFERROR(VLOOKUP(U14Mruns[[#This Row],[Card]],results0123[],4,FALSE),999)</f>
        <v>45</v>
      </c>
      <c r="V36" s="5">
        <f>VLOOKUP(U14Mruns[[#This Row],[pos1.0123]],pointstable[],2,FALSE)</f>
        <v>15</v>
      </c>
      <c r="W36" s="5">
        <f>IFERROR(VLOOKUP(U14Mruns[[#This Row],[Card]],results0123[],5,FALSE),999)</f>
        <v>36</v>
      </c>
      <c r="X36" s="5">
        <f>VLOOKUP(U14Mruns[[#This Row],[pos2.0123]],pointstable[],2,FALSE)</f>
        <v>24</v>
      </c>
      <c r="Y36" s="5">
        <f>IFERROR(VLOOKUP(U14Mruns[[#This Row],[Card]],results0120[],4,FALSE),999)</f>
        <v>33</v>
      </c>
      <c r="Z36" s="5">
        <f>VLOOKUP(U14Mruns[[#This Row],[pos1.0120]],pointstable[],2,FALSE)</f>
        <v>27</v>
      </c>
      <c r="AA36" s="5">
        <f>IFERROR(VLOOKUP(U14Mruns[[#This Row],[Card]],results0120[],5,FALSE),999)</f>
        <v>76</v>
      </c>
      <c r="AB36" s="5">
        <f>VLOOKUP(U14Mruns[[#This Row],[pos2.0120]],pointstable[],2,FALSE)</f>
        <v>0</v>
      </c>
    </row>
    <row r="37" spans="1:28" x14ac:dyDescent="0.25">
      <c r="A37">
        <v>80682</v>
      </c>
      <c r="B37" t="s">
        <v>135</v>
      </c>
      <c r="C37" t="s">
        <v>15</v>
      </c>
      <c r="D37">
        <v>4</v>
      </c>
      <c r="E37" s="5">
        <f>MAX(U14Mruns[[#This Row],[pts1.0119]],U14Mruns[[#This Row],[pts2.0119]],U14Mruns[[#This Row],[pts1.0118]],U14Mruns[[#This Row],[pts2.0118]],U14Mruns[[#This Row],[pts1.0120]],U14Mruns[[#This Row],[pts2.0120]])</f>
        <v>41</v>
      </c>
      <c r="F37" s="5">
        <f>MAX(U14Mruns[[#This Row],[pts1.0117]],U14Mruns[[#This Row],[pts2.0117]],U14Mruns[[#This Row],[pts0121]],U14Mruns[[#This Row],[pts1.0123]],U14Mruns[[#This Row],[pts2.0123]])</f>
        <v>41</v>
      </c>
      <c r="G37" s="5">
        <f>IFERROR(VLOOKUP(U14Mruns[[#This Row],[Card]],results0117[],4,FALSE),999)</f>
        <v>999</v>
      </c>
      <c r="H37" s="5">
        <f>VLOOKUP(U14Mruns[[#This Row],[pos1.0117]],pointstable[],2,FALSE)</f>
        <v>0</v>
      </c>
      <c r="I37" s="5">
        <f>IFERROR(VLOOKUP(U14Mruns[[#This Row],[Card]],results0117[],5,FALSE),999)</f>
        <v>50</v>
      </c>
      <c r="J37" s="5">
        <f>VLOOKUP(U14Mruns[[#This Row],[pos2.0117]],pointstable[],2,FALSE)</f>
        <v>10</v>
      </c>
      <c r="K37" s="5">
        <f>IFERROR(VLOOKUP(U14Mruns[[#This Row],[Card]],results0119[],4,FALSE),999)</f>
        <v>999</v>
      </c>
      <c r="L37" s="5">
        <f>VLOOKUP(U14Mruns[[#This Row],[pos1.0119]],pointstable[],2,FALSE)</f>
        <v>0</v>
      </c>
      <c r="M37" s="5">
        <f>IFERROR(VLOOKUP(U14Mruns[[#This Row],[Card]],results0119[],5,FALSE),999)</f>
        <v>64</v>
      </c>
      <c r="N37" s="5">
        <f>VLOOKUP(U14Mruns[[#This Row],[pos2.0119]],pointstable[],2,FALSE)</f>
        <v>0</v>
      </c>
      <c r="O37" s="5">
        <f>IFERROR(VLOOKUP(U14Mruns[[#This Row],[Card]],results0121[],3,FALSE),999)</f>
        <v>24</v>
      </c>
      <c r="P37" s="5">
        <f>VLOOKUP(U14Mruns[[#This Row],[pos0121]],pointstable[],2,FALSE)</f>
        <v>41</v>
      </c>
      <c r="Q37" s="5">
        <f>IFERROR(VLOOKUP(U14Mruns[[#This Row],[Card]],results0118[],4,FALSE),999)</f>
        <v>50</v>
      </c>
      <c r="R37" s="5">
        <f>VLOOKUP(U14Mruns[[#This Row],[pos1.0118]],pointstable[],2,FALSE)</f>
        <v>10</v>
      </c>
      <c r="S37" s="5">
        <f>IFERROR(VLOOKUP(U14Mruns[[#This Row],[Card]],results0118[],5,FALSE),999)</f>
        <v>24</v>
      </c>
      <c r="T37" s="5">
        <f>VLOOKUP(U14Mruns[[#This Row],[pos2.0118]],pointstable[],2,FALSE)</f>
        <v>41</v>
      </c>
      <c r="U37" s="5">
        <f>IFERROR(VLOOKUP(U14Mruns[[#This Row],[Card]],results0123[],4,FALSE),999)</f>
        <v>44</v>
      </c>
      <c r="V37" s="5">
        <f>VLOOKUP(U14Mruns[[#This Row],[pos1.0123]],pointstable[],2,FALSE)</f>
        <v>16</v>
      </c>
      <c r="W37" s="5">
        <f>IFERROR(VLOOKUP(U14Mruns[[#This Row],[Card]],results0123[],5,FALSE),999)</f>
        <v>48</v>
      </c>
      <c r="X37" s="5">
        <f>VLOOKUP(U14Mruns[[#This Row],[pos2.0123]],pointstable[],2,FALSE)</f>
        <v>12</v>
      </c>
      <c r="Y37" s="5">
        <f>IFERROR(VLOOKUP(U14Mruns[[#This Row],[Card]],results0120[],4,FALSE),999)</f>
        <v>999</v>
      </c>
      <c r="Z37" s="5">
        <f>VLOOKUP(U14Mruns[[#This Row],[pos1.0120]],pointstable[],2,FALSE)</f>
        <v>0</v>
      </c>
      <c r="AA37" s="5">
        <f>IFERROR(VLOOKUP(U14Mruns[[#This Row],[Card]],results0120[],5,FALSE),999)</f>
        <v>999</v>
      </c>
      <c r="AB37" s="5">
        <f>VLOOKUP(U14Mruns[[#This Row],[pos2.0120]],pointstable[],2,FALSE)</f>
        <v>0</v>
      </c>
    </row>
    <row r="38" spans="1:28" x14ac:dyDescent="0.25">
      <c r="A38">
        <v>82328</v>
      </c>
      <c r="B38" t="s">
        <v>137</v>
      </c>
      <c r="C38" t="s">
        <v>15</v>
      </c>
      <c r="D38">
        <v>4</v>
      </c>
      <c r="E38" s="5">
        <f>MAX(U14Mruns[[#This Row],[pts1.0119]],U14Mruns[[#This Row],[pts2.0119]],U14Mruns[[#This Row],[pts1.0118]],U14Mruns[[#This Row],[pts2.0118]],U14Mruns[[#This Row],[pts1.0120]],U14Mruns[[#This Row],[pts2.0120]])</f>
        <v>60</v>
      </c>
      <c r="F38" s="5">
        <f>MAX(U14Mruns[[#This Row],[pts1.0117]],U14Mruns[[#This Row],[pts2.0117]],U14Mruns[[#This Row],[pts0121]],U14Mruns[[#This Row],[pts1.0123]],U14Mruns[[#This Row],[pts2.0123]])</f>
        <v>41</v>
      </c>
      <c r="G38" s="5">
        <f>IFERROR(VLOOKUP(U14Mruns[[#This Row],[Card]],results0117[],4,FALSE),999)</f>
        <v>33</v>
      </c>
      <c r="H38" s="5">
        <f>VLOOKUP(U14Mruns[[#This Row],[pos1.0117]],pointstable[],2,FALSE)</f>
        <v>27</v>
      </c>
      <c r="I38" s="5">
        <f>IFERROR(VLOOKUP(U14Mruns[[#This Row],[Card]],results0117[],5,FALSE),999)</f>
        <v>49</v>
      </c>
      <c r="J38" s="5">
        <f>VLOOKUP(U14Mruns[[#This Row],[pos2.0117]],pointstable[],2,FALSE)</f>
        <v>11</v>
      </c>
      <c r="K38" s="5">
        <f>IFERROR(VLOOKUP(U14Mruns[[#This Row],[Card]],results0119[],4,FALSE),999)</f>
        <v>33</v>
      </c>
      <c r="L38" s="5">
        <f>VLOOKUP(U14Mruns[[#This Row],[pos1.0119]],pointstable[],2,FALSE)</f>
        <v>27</v>
      </c>
      <c r="M38" s="5">
        <f>IFERROR(VLOOKUP(U14Mruns[[#This Row],[Card]],results0119[],5,FALSE),999)</f>
        <v>49</v>
      </c>
      <c r="N38" s="5">
        <f>VLOOKUP(U14Mruns[[#This Row],[pos2.0119]],pointstable[],2,FALSE)</f>
        <v>11</v>
      </c>
      <c r="O38" s="5">
        <f>IFERROR(VLOOKUP(U14Mruns[[#This Row],[Card]],results0121[],3,FALSE),999)</f>
        <v>24</v>
      </c>
      <c r="P38" s="5">
        <f>VLOOKUP(U14Mruns[[#This Row],[pos0121]],pointstable[],2,FALSE)</f>
        <v>41</v>
      </c>
      <c r="Q38" s="5">
        <f>IFERROR(VLOOKUP(U14Mruns[[#This Row],[Card]],results0118[],4,FALSE),999)</f>
        <v>999</v>
      </c>
      <c r="R38" s="5">
        <f>VLOOKUP(U14Mruns[[#This Row],[pos1.0118]],pointstable[],2,FALSE)</f>
        <v>0</v>
      </c>
      <c r="S38" s="5">
        <f>IFERROR(VLOOKUP(U14Mruns[[#This Row],[Card]],results0118[],5,FALSE),999)</f>
        <v>58</v>
      </c>
      <c r="T38" s="5">
        <f>VLOOKUP(U14Mruns[[#This Row],[pos2.0118]],pointstable[],2,FALSE)</f>
        <v>2</v>
      </c>
      <c r="U38" s="5">
        <f>IFERROR(VLOOKUP(U14Mruns[[#This Row],[Card]],results0123[],4,FALSE),999)</f>
        <v>54</v>
      </c>
      <c r="V38" s="5">
        <f>VLOOKUP(U14Mruns[[#This Row],[pos1.0123]],pointstable[],2,FALSE)</f>
        <v>6</v>
      </c>
      <c r="W38" s="5">
        <f>IFERROR(VLOOKUP(U14Mruns[[#This Row],[Card]],results0123[],5,FALSE),999)</f>
        <v>45</v>
      </c>
      <c r="X38" s="5">
        <f>VLOOKUP(U14Mruns[[#This Row],[pos2.0123]],pointstable[],2,FALSE)</f>
        <v>15</v>
      </c>
      <c r="Y38" s="5">
        <f>IFERROR(VLOOKUP(U14Mruns[[#This Row],[Card]],results0120[],4,FALSE),999)</f>
        <v>23</v>
      </c>
      <c r="Z38" s="5">
        <f>VLOOKUP(U14Mruns[[#This Row],[pos1.0120]],pointstable[],2,FALSE)</f>
        <v>44</v>
      </c>
      <c r="AA38" s="5">
        <f>IFERROR(VLOOKUP(U14Mruns[[#This Row],[Card]],results0120[],5,FALSE),999)</f>
        <v>19</v>
      </c>
      <c r="AB38" s="5">
        <f>VLOOKUP(U14Mruns[[#This Row],[pos2.0120]],pointstable[],2,FALSE)</f>
        <v>60</v>
      </c>
    </row>
    <row r="39" spans="1:28" x14ac:dyDescent="0.25">
      <c r="A39">
        <v>84763</v>
      </c>
      <c r="B39" t="s">
        <v>103</v>
      </c>
      <c r="C39" t="s">
        <v>15</v>
      </c>
      <c r="D39">
        <v>5</v>
      </c>
      <c r="E39" s="5">
        <f>MAX(U14Mruns[[#This Row],[pts1.0119]],U14Mruns[[#This Row],[pts2.0119]],U14Mruns[[#This Row],[pts1.0118]],U14Mruns[[#This Row],[pts2.0118]],U14Mruns[[#This Row],[pts1.0120]],U14Mruns[[#This Row],[pts2.0120]])</f>
        <v>200</v>
      </c>
      <c r="F39" s="5">
        <f>MAX(U14Mruns[[#This Row],[pts1.0117]],U14Mruns[[#This Row],[pts2.0117]],U14Mruns[[#This Row],[pts0121]],U14Mruns[[#This Row],[pts1.0123]],U14Mruns[[#This Row],[pts2.0123]])</f>
        <v>80</v>
      </c>
      <c r="G39" s="5">
        <f>IFERROR(VLOOKUP(U14Mruns[[#This Row],[Card]],results0117[],4,FALSE),999)</f>
        <v>25</v>
      </c>
      <c r="H39" s="5">
        <f>VLOOKUP(U14Mruns[[#This Row],[pos1.0117]],pointstable[],2,FALSE)</f>
        <v>38</v>
      </c>
      <c r="I39" s="5">
        <f>IFERROR(VLOOKUP(U14Mruns[[#This Row],[Card]],results0117[],5,FALSE),999)</f>
        <v>37</v>
      </c>
      <c r="J39" s="5">
        <f>VLOOKUP(U14Mruns[[#This Row],[pos2.0117]],pointstable[],2,FALSE)</f>
        <v>23</v>
      </c>
      <c r="K39" s="5">
        <f>IFERROR(VLOOKUP(U14Mruns[[#This Row],[Card]],results0119[],4,FALSE),999)</f>
        <v>999</v>
      </c>
      <c r="L39" s="5">
        <f>VLOOKUP(U14Mruns[[#This Row],[pos1.0119]],pointstable[],2,FALSE)</f>
        <v>0</v>
      </c>
      <c r="M39" s="5">
        <f>IFERROR(VLOOKUP(U14Mruns[[#This Row],[Card]],results0119[],5,FALSE),999)</f>
        <v>40</v>
      </c>
      <c r="N39" s="5">
        <f>VLOOKUP(U14Mruns[[#This Row],[pos2.0119]],pointstable[],2,FALSE)</f>
        <v>20</v>
      </c>
      <c r="O39" s="5">
        <f>IFERROR(VLOOKUP(U14Mruns[[#This Row],[Card]],results0121[],3,FALSE),999)</f>
        <v>33</v>
      </c>
      <c r="P39" s="5">
        <f>VLOOKUP(U14Mruns[[#This Row],[pos0121]],pointstable[],2,FALSE)</f>
        <v>27</v>
      </c>
      <c r="Q39" s="5">
        <f>IFERROR(VLOOKUP(U14Mruns[[#This Row],[Card]],results0118[],4,FALSE),999)</f>
        <v>6</v>
      </c>
      <c r="R39" s="5">
        <f>VLOOKUP(U14Mruns[[#This Row],[pos1.0118]],pointstable[],2,FALSE)</f>
        <v>200</v>
      </c>
      <c r="S39" s="5">
        <f>IFERROR(VLOOKUP(U14Mruns[[#This Row],[Card]],results0118[],5,FALSE),999)</f>
        <v>27</v>
      </c>
      <c r="T39" s="5">
        <f>VLOOKUP(U14Mruns[[#This Row],[pos2.0118]],pointstable[],2,FALSE)</f>
        <v>34</v>
      </c>
      <c r="U39" s="5">
        <f>IFERROR(VLOOKUP(U14Mruns[[#This Row],[Card]],results0123[],4,FALSE),999)</f>
        <v>29</v>
      </c>
      <c r="V39" s="5">
        <f>VLOOKUP(U14Mruns[[#This Row],[pos1.0123]],pointstable[],2,FALSE)</f>
        <v>31</v>
      </c>
      <c r="W39" s="5">
        <f>IFERROR(VLOOKUP(U14Mruns[[#This Row],[Card]],results0123[],5,FALSE),999)</f>
        <v>15</v>
      </c>
      <c r="X39" s="5">
        <f>VLOOKUP(U14Mruns[[#This Row],[pos2.0123]],pointstable[],2,FALSE)</f>
        <v>80</v>
      </c>
      <c r="Y39" s="5">
        <f>IFERROR(VLOOKUP(U14Mruns[[#This Row],[Card]],results0120[],4,FALSE),999)</f>
        <v>12</v>
      </c>
      <c r="Z39" s="5">
        <f>VLOOKUP(U14Mruns[[#This Row],[pos1.0120]],pointstable[],2,FALSE)</f>
        <v>110</v>
      </c>
      <c r="AA39" s="5">
        <f>IFERROR(VLOOKUP(U14Mruns[[#This Row],[Card]],results0120[],5,FALSE),999)</f>
        <v>999</v>
      </c>
      <c r="AB39" s="5">
        <f>VLOOKUP(U14Mruns[[#This Row],[pos2.0120]],pointstable[],2,FALSE)</f>
        <v>0</v>
      </c>
    </row>
    <row r="40" spans="1:28" x14ac:dyDescent="0.25">
      <c r="A40">
        <v>81110</v>
      </c>
      <c r="B40" t="s">
        <v>86</v>
      </c>
      <c r="C40" t="s">
        <v>22</v>
      </c>
      <c r="D40">
        <v>5</v>
      </c>
      <c r="E40" s="5">
        <f>MAX(U14Mruns[[#This Row],[pts1.0119]],U14Mruns[[#This Row],[pts2.0119]],U14Mruns[[#This Row],[pts1.0118]],U14Mruns[[#This Row],[pts2.0118]],U14Mruns[[#This Row],[pts1.0120]],U14Mruns[[#This Row],[pts2.0120]])</f>
        <v>100</v>
      </c>
      <c r="F40" s="5">
        <f>MAX(U14Mruns[[#This Row],[pts1.0117]],U14Mruns[[#This Row],[pts2.0117]],U14Mruns[[#This Row],[pts0121]],U14Mruns[[#This Row],[pts1.0123]],U14Mruns[[#This Row],[pts2.0123]])</f>
        <v>38</v>
      </c>
      <c r="G40" s="5">
        <f>IFERROR(VLOOKUP(U14Mruns[[#This Row],[Card]],results0117[],4,FALSE),999)</f>
        <v>34</v>
      </c>
      <c r="H40" s="5">
        <f>VLOOKUP(U14Mruns[[#This Row],[pos1.0117]],pointstable[],2,FALSE)</f>
        <v>26</v>
      </c>
      <c r="I40" s="5">
        <f>IFERROR(VLOOKUP(U14Mruns[[#This Row],[Card]],results0117[],5,FALSE),999)</f>
        <v>25</v>
      </c>
      <c r="J40" s="5">
        <f>VLOOKUP(U14Mruns[[#This Row],[pos2.0117]],pointstable[],2,FALSE)</f>
        <v>38</v>
      </c>
      <c r="K40" s="5">
        <f>IFERROR(VLOOKUP(U14Mruns[[#This Row],[Card]],results0119[],4,FALSE),999)</f>
        <v>999</v>
      </c>
      <c r="L40" s="5">
        <f>VLOOKUP(U14Mruns[[#This Row],[pos1.0119]],pointstable[],2,FALSE)</f>
        <v>0</v>
      </c>
      <c r="M40" s="5">
        <f>IFERROR(VLOOKUP(U14Mruns[[#This Row],[Card]],results0119[],5,FALSE),999)</f>
        <v>18</v>
      </c>
      <c r="N40" s="5">
        <f>VLOOKUP(U14Mruns[[#This Row],[pos2.0119]],pointstable[],2,FALSE)</f>
        <v>65</v>
      </c>
      <c r="O40" s="5">
        <f>IFERROR(VLOOKUP(U14Mruns[[#This Row],[Card]],results0121[],3,FALSE),999)</f>
        <v>26</v>
      </c>
      <c r="P40" s="5">
        <f>VLOOKUP(U14Mruns[[#This Row],[pos0121]],pointstable[],2,FALSE)</f>
        <v>36</v>
      </c>
      <c r="Q40" s="5">
        <f>IFERROR(VLOOKUP(U14Mruns[[#This Row],[Card]],results0118[],4,FALSE),999)</f>
        <v>39</v>
      </c>
      <c r="R40" s="5">
        <f>VLOOKUP(U14Mruns[[#This Row],[pos1.0118]],pointstable[],2,FALSE)</f>
        <v>21</v>
      </c>
      <c r="S40" s="5">
        <f>IFERROR(VLOOKUP(U14Mruns[[#This Row],[Card]],results0118[],5,FALSE),999)</f>
        <v>999</v>
      </c>
      <c r="T40" s="5">
        <f>VLOOKUP(U14Mruns[[#This Row],[pos2.0118]],pointstable[],2,FALSE)</f>
        <v>0</v>
      </c>
      <c r="U40" s="5">
        <f>IFERROR(VLOOKUP(U14Mruns[[#This Row],[Card]],results0123[],4,FALSE),999)</f>
        <v>40</v>
      </c>
      <c r="V40" s="5">
        <f>VLOOKUP(U14Mruns[[#This Row],[pos1.0123]],pointstable[],2,FALSE)</f>
        <v>20</v>
      </c>
      <c r="W40" s="5">
        <f>IFERROR(VLOOKUP(U14Mruns[[#This Row],[Card]],results0123[],5,FALSE),999)</f>
        <v>32</v>
      </c>
      <c r="X40" s="5">
        <f>VLOOKUP(U14Mruns[[#This Row],[pos2.0123]],pointstable[],2,FALSE)</f>
        <v>28</v>
      </c>
      <c r="Y40" s="5">
        <f>IFERROR(VLOOKUP(U14Mruns[[#This Row],[Card]],results0120[],4,FALSE),999)</f>
        <v>13</v>
      </c>
      <c r="Z40" s="5">
        <f>VLOOKUP(U14Mruns[[#This Row],[pos1.0120]],pointstable[],2,FALSE)</f>
        <v>100</v>
      </c>
      <c r="AA40" s="5">
        <f>IFERROR(VLOOKUP(U14Mruns[[#This Row],[Card]],results0120[],5,FALSE),999)</f>
        <v>46</v>
      </c>
      <c r="AB40" s="5">
        <f>VLOOKUP(U14Mruns[[#This Row],[pos2.0120]],pointstable[],2,FALSE)</f>
        <v>14</v>
      </c>
    </row>
    <row r="41" spans="1:28" x14ac:dyDescent="0.25">
      <c r="A41">
        <v>85235</v>
      </c>
      <c r="B41" t="s">
        <v>46</v>
      </c>
      <c r="C41" t="s">
        <v>47</v>
      </c>
      <c r="D41">
        <v>4</v>
      </c>
      <c r="E41" s="5">
        <f>MAX(U14Mruns[[#This Row],[pts1.0119]],U14Mruns[[#This Row],[pts2.0119]],U14Mruns[[#This Row],[pts1.0118]],U14Mruns[[#This Row],[pts2.0118]],U14Mruns[[#This Row],[pts1.0120]],U14Mruns[[#This Row],[pts2.0120]])</f>
        <v>51</v>
      </c>
      <c r="F41" s="5">
        <f>MAX(U14Mruns[[#This Row],[pts1.0117]],U14Mruns[[#This Row],[pts2.0117]],U14Mruns[[#This Row],[pts0121]],U14Mruns[[#This Row],[pts1.0123]],U14Mruns[[#This Row],[pts2.0123]])</f>
        <v>55</v>
      </c>
      <c r="G41" s="5">
        <f>IFERROR(VLOOKUP(U14Mruns[[#This Row],[Card]],results0117[],4,FALSE),999)</f>
        <v>999</v>
      </c>
      <c r="H41" s="5">
        <f>VLOOKUP(U14Mruns[[#This Row],[pos1.0117]],pointstable[],2,FALSE)</f>
        <v>0</v>
      </c>
      <c r="I41" s="5">
        <f>IFERROR(VLOOKUP(U14Mruns[[#This Row],[Card]],results0117[],5,FALSE),999)</f>
        <v>26</v>
      </c>
      <c r="J41" s="5">
        <f>VLOOKUP(U14Mruns[[#This Row],[pos2.0117]],pointstable[],2,FALSE)</f>
        <v>36</v>
      </c>
      <c r="K41" s="5">
        <f>IFERROR(VLOOKUP(U14Mruns[[#This Row],[Card]],results0119[],4,FALSE),999)</f>
        <v>999</v>
      </c>
      <c r="L41" s="5">
        <f>VLOOKUP(U14Mruns[[#This Row],[pos1.0119]],pointstable[],2,FALSE)</f>
        <v>0</v>
      </c>
      <c r="M41" s="5">
        <f>IFERROR(VLOOKUP(U14Mruns[[#This Row],[Card]],results0119[],5,FALSE),999)</f>
        <v>23</v>
      </c>
      <c r="N41" s="5">
        <f>VLOOKUP(U14Mruns[[#This Row],[pos2.0119]],pointstable[],2,FALSE)</f>
        <v>44</v>
      </c>
      <c r="O41" s="5">
        <f>IFERROR(VLOOKUP(U14Mruns[[#This Row],[Card]],results0121[],3,FALSE),999)</f>
        <v>999</v>
      </c>
      <c r="P41" s="5">
        <f>VLOOKUP(U14Mruns[[#This Row],[pos0121]],pointstable[],2,FALSE)</f>
        <v>0</v>
      </c>
      <c r="Q41" s="5">
        <f>IFERROR(VLOOKUP(U14Mruns[[#This Row],[Card]],results0118[],4,FALSE),999)</f>
        <v>29</v>
      </c>
      <c r="R41" s="5">
        <f>VLOOKUP(U14Mruns[[#This Row],[pos1.0118]],pointstable[],2,FALSE)</f>
        <v>31</v>
      </c>
      <c r="S41" s="5">
        <f>IFERROR(VLOOKUP(U14Mruns[[#This Row],[Card]],results0118[],5,FALSE),999)</f>
        <v>28</v>
      </c>
      <c r="T41" s="5">
        <f>VLOOKUP(U14Mruns[[#This Row],[pos2.0118]],pointstable[],2,FALSE)</f>
        <v>32</v>
      </c>
      <c r="U41" s="5">
        <f>IFERROR(VLOOKUP(U14Mruns[[#This Row],[Card]],results0123[],4,FALSE),999)</f>
        <v>20</v>
      </c>
      <c r="V41" s="5">
        <f>VLOOKUP(U14Mruns[[#This Row],[pos1.0123]],pointstable[],2,FALSE)</f>
        <v>55</v>
      </c>
      <c r="W41" s="5">
        <f>IFERROR(VLOOKUP(U14Mruns[[#This Row],[Card]],results0123[],5,FALSE),999)</f>
        <v>22</v>
      </c>
      <c r="X41" s="5">
        <f>VLOOKUP(U14Mruns[[#This Row],[pos2.0123]],pointstable[],2,FALSE)</f>
        <v>47</v>
      </c>
      <c r="Y41" s="5">
        <f>IFERROR(VLOOKUP(U14Mruns[[#This Row],[Card]],results0120[],4,FALSE),999)</f>
        <v>21</v>
      </c>
      <c r="Z41" s="5">
        <f>VLOOKUP(U14Mruns[[#This Row],[pos1.0120]],pointstable[],2,FALSE)</f>
        <v>51</v>
      </c>
      <c r="AA41" s="5">
        <f>IFERROR(VLOOKUP(U14Mruns[[#This Row],[Card]],results0120[],5,FALSE),999)</f>
        <v>36</v>
      </c>
      <c r="AB41" s="5">
        <f>VLOOKUP(U14Mruns[[#This Row],[pos2.0120]],pointstable[],2,FALSE)</f>
        <v>24</v>
      </c>
    </row>
    <row r="42" spans="1:28" x14ac:dyDescent="0.25">
      <c r="A42">
        <v>80690</v>
      </c>
      <c r="B42" t="s">
        <v>148</v>
      </c>
      <c r="C42" t="s">
        <v>31</v>
      </c>
      <c r="D42">
        <v>5</v>
      </c>
      <c r="E42" s="5">
        <f>MAX(U14Mruns[[#This Row],[pts1.0119]],U14Mruns[[#This Row],[pts2.0119]],U14Mruns[[#This Row],[pts1.0118]],U14Mruns[[#This Row],[pts2.0118]],U14Mruns[[#This Row],[pts1.0120]],U14Mruns[[#This Row],[pts2.0120]])</f>
        <v>29</v>
      </c>
      <c r="F42" s="5">
        <f>MAX(U14Mruns[[#This Row],[pts1.0117]],U14Mruns[[#This Row],[pts2.0117]],U14Mruns[[#This Row],[pts0121]],U14Mruns[[#This Row],[pts1.0123]],U14Mruns[[#This Row],[pts2.0123]])</f>
        <v>36</v>
      </c>
      <c r="G42" s="5">
        <f>IFERROR(VLOOKUP(U14Mruns[[#This Row],[Card]],results0117[],4,FALSE),999)</f>
        <v>26</v>
      </c>
      <c r="H42" s="5">
        <f>VLOOKUP(U14Mruns[[#This Row],[pos1.0117]],pointstable[],2,FALSE)</f>
        <v>36</v>
      </c>
      <c r="I42" s="5">
        <f>IFERROR(VLOOKUP(U14Mruns[[#This Row],[Card]],results0117[],5,FALSE),999)</f>
        <v>39</v>
      </c>
      <c r="J42" s="5">
        <f>VLOOKUP(U14Mruns[[#This Row],[pos2.0117]],pointstable[],2,FALSE)</f>
        <v>21</v>
      </c>
      <c r="K42" s="5">
        <f>IFERROR(VLOOKUP(U14Mruns[[#This Row],[Card]],results0119[],4,FALSE),999)</f>
        <v>49</v>
      </c>
      <c r="L42" s="5">
        <f>VLOOKUP(U14Mruns[[#This Row],[pos1.0119]],pointstable[],2,FALSE)</f>
        <v>11</v>
      </c>
      <c r="M42" s="5">
        <f>IFERROR(VLOOKUP(U14Mruns[[#This Row],[Card]],results0119[],5,FALSE),999)</f>
        <v>51</v>
      </c>
      <c r="N42" s="5">
        <f>VLOOKUP(U14Mruns[[#This Row],[pos2.0119]],pointstable[],2,FALSE)</f>
        <v>9</v>
      </c>
      <c r="O42" s="5">
        <f>IFERROR(VLOOKUP(U14Mruns[[#This Row],[Card]],results0121[],3,FALSE),999)</f>
        <v>999</v>
      </c>
      <c r="P42" s="5">
        <f>VLOOKUP(U14Mruns[[#This Row],[pos0121]],pointstable[],2,FALSE)</f>
        <v>0</v>
      </c>
      <c r="Q42" s="5">
        <f>IFERROR(VLOOKUP(U14Mruns[[#This Row],[Card]],results0118[],4,FALSE),999)</f>
        <v>45</v>
      </c>
      <c r="R42" s="5">
        <f>VLOOKUP(U14Mruns[[#This Row],[pos1.0118]],pointstable[],2,FALSE)</f>
        <v>15</v>
      </c>
      <c r="S42" s="5">
        <f>IFERROR(VLOOKUP(U14Mruns[[#This Row],[Card]],results0118[],5,FALSE),999)</f>
        <v>41</v>
      </c>
      <c r="T42" s="5">
        <f>VLOOKUP(U14Mruns[[#This Row],[pos2.0118]],pointstable[],2,FALSE)</f>
        <v>19</v>
      </c>
      <c r="U42" s="5">
        <f>IFERROR(VLOOKUP(U14Mruns[[#This Row],[Card]],results0123[],4,FALSE),999)</f>
        <v>27</v>
      </c>
      <c r="V42" s="5">
        <f>VLOOKUP(U14Mruns[[#This Row],[pos1.0123]],pointstable[],2,FALSE)</f>
        <v>34</v>
      </c>
      <c r="W42" s="5">
        <f>IFERROR(VLOOKUP(U14Mruns[[#This Row],[Card]],results0123[],5,FALSE),999)</f>
        <v>999</v>
      </c>
      <c r="X42" s="5">
        <f>VLOOKUP(U14Mruns[[#This Row],[pos2.0123]],pointstable[],2,FALSE)</f>
        <v>0</v>
      </c>
      <c r="Y42" s="5">
        <f>IFERROR(VLOOKUP(U14Mruns[[#This Row],[Card]],results0120[],4,FALSE),999)</f>
        <v>34</v>
      </c>
      <c r="Z42" s="5">
        <f>VLOOKUP(U14Mruns[[#This Row],[pos1.0120]],pointstable[],2,FALSE)</f>
        <v>26</v>
      </c>
      <c r="AA42" s="5">
        <f>IFERROR(VLOOKUP(U14Mruns[[#This Row],[Card]],results0120[],5,FALSE),999)</f>
        <v>31</v>
      </c>
      <c r="AB42" s="5">
        <f>VLOOKUP(U14Mruns[[#This Row],[pos2.0120]],pointstable[],2,FALSE)</f>
        <v>29</v>
      </c>
    </row>
    <row r="43" spans="1:28" x14ac:dyDescent="0.25">
      <c r="A43">
        <v>78610</v>
      </c>
      <c r="B43" t="s">
        <v>133</v>
      </c>
      <c r="C43" t="s">
        <v>15</v>
      </c>
      <c r="D43">
        <v>5</v>
      </c>
      <c r="E43" s="5">
        <f>MAX(U14Mruns[[#This Row],[pts1.0119]],U14Mruns[[#This Row],[pts2.0119]],U14Mruns[[#This Row],[pts1.0118]],U14Mruns[[#This Row],[pts2.0118]],U14Mruns[[#This Row],[pts1.0120]],U14Mruns[[#This Row],[pts2.0120]])</f>
        <v>80</v>
      </c>
      <c r="F43" s="5">
        <f>MAX(U14Mruns[[#This Row],[pts1.0117]],U14Mruns[[#This Row],[pts2.0117]],U14Mruns[[#This Row],[pts0121]],U14Mruns[[#This Row],[pts1.0123]],U14Mruns[[#This Row],[pts2.0123]])</f>
        <v>34</v>
      </c>
      <c r="G43" s="5">
        <f>IFERROR(VLOOKUP(U14Mruns[[#This Row],[Card]],results0117[],4,FALSE),999)</f>
        <v>48</v>
      </c>
      <c r="H43" s="5">
        <f>VLOOKUP(U14Mruns[[#This Row],[pos1.0117]],pointstable[],2,FALSE)</f>
        <v>12</v>
      </c>
      <c r="I43" s="5">
        <f>IFERROR(VLOOKUP(U14Mruns[[#This Row],[Card]],results0117[],5,FALSE),999)</f>
        <v>53</v>
      </c>
      <c r="J43" s="5">
        <f>VLOOKUP(U14Mruns[[#This Row],[pos2.0117]],pointstable[],2,FALSE)</f>
        <v>7</v>
      </c>
      <c r="K43" s="5">
        <f>IFERROR(VLOOKUP(U14Mruns[[#This Row],[Card]],results0119[],4,FALSE),999)</f>
        <v>43</v>
      </c>
      <c r="L43" s="5">
        <f>VLOOKUP(U14Mruns[[#This Row],[pos1.0119]],pointstable[],2,FALSE)</f>
        <v>17</v>
      </c>
      <c r="M43" s="5">
        <f>IFERROR(VLOOKUP(U14Mruns[[#This Row],[Card]],results0119[],5,FALSE),999)</f>
        <v>38</v>
      </c>
      <c r="N43" s="5">
        <f>VLOOKUP(U14Mruns[[#This Row],[pos2.0119]],pointstable[],2,FALSE)</f>
        <v>22</v>
      </c>
      <c r="O43" s="5">
        <f>IFERROR(VLOOKUP(U14Mruns[[#This Row],[Card]],results0121[],3,FALSE),999)</f>
        <v>27</v>
      </c>
      <c r="P43" s="5">
        <f>VLOOKUP(U14Mruns[[#This Row],[pos0121]],pointstable[],2,FALSE)</f>
        <v>34</v>
      </c>
      <c r="Q43" s="5">
        <f>IFERROR(VLOOKUP(U14Mruns[[#This Row],[Card]],results0118[],4,FALSE),999)</f>
        <v>17</v>
      </c>
      <c r="R43" s="5">
        <f>VLOOKUP(U14Mruns[[#This Row],[pos1.0118]],pointstable[],2,FALSE)</f>
        <v>70</v>
      </c>
      <c r="S43" s="5">
        <f>IFERROR(VLOOKUP(U14Mruns[[#This Row],[Card]],results0118[],5,FALSE),999)</f>
        <v>29</v>
      </c>
      <c r="T43" s="5">
        <f>VLOOKUP(U14Mruns[[#This Row],[pos2.0118]],pointstable[],2,FALSE)</f>
        <v>31</v>
      </c>
      <c r="U43" s="5">
        <f>IFERROR(VLOOKUP(U14Mruns[[#This Row],[Card]],results0123[],4,FALSE),999)</f>
        <v>32</v>
      </c>
      <c r="V43" s="5">
        <f>VLOOKUP(U14Mruns[[#This Row],[pos1.0123]],pointstable[],2,FALSE)</f>
        <v>28</v>
      </c>
      <c r="W43" s="5">
        <f>IFERROR(VLOOKUP(U14Mruns[[#This Row],[Card]],results0123[],5,FALSE),999)</f>
        <v>28</v>
      </c>
      <c r="X43" s="5">
        <f>VLOOKUP(U14Mruns[[#This Row],[pos2.0123]],pointstable[],2,FALSE)</f>
        <v>32</v>
      </c>
      <c r="Y43" s="5">
        <f>IFERROR(VLOOKUP(U14Mruns[[#This Row],[Card]],results0120[],4,FALSE),999)</f>
        <v>20</v>
      </c>
      <c r="Z43" s="5">
        <f>VLOOKUP(U14Mruns[[#This Row],[pos1.0120]],pointstable[],2,FALSE)</f>
        <v>55</v>
      </c>
      <c r="AA43" s="5">
        <f>IFERROR(VLOOKUP(U14Mruns[[#This Row],[Card]],results0120[],5,FALSE),999)</f>
        <v>15</v>
      </c>
      <c r="AB43" s="5">
        <f>VLOOKUP(U14Mruns[[#This Row],[pos2.0120]],pointstable[],2,FALSE)</f>
        <v>80</v>
      </c>
    </row>
    <row r="44" spans="1:28" x14ac:dyDescent="0.25">
      <c r="A44">
        <v>86113</v>
      </c>
      <c r="B44" t="s">
        <v>142</v>
      </c>
      <c r="C44" t="s">
        <v>101</v>
      </c>
      <c r="D44">
        <v>5</v>
      </c>
      <c r="E44" s="5">
        <f>MAX(U14Mruns[[#This Row],[pts1.0119]],U14Mruns[[#This Row],[pts2.0119]],U14Mruns[[#This Row],[pts1.0118]],U14Mruns[[#This Row],[pts2.0118]],U14Mruns[[#This Row],[pts1.0120]],U14Mruns[[#This Row],[pts2.0120]])</f>
        <v>44</v>
      </c>
      <c r="F44" s="5">
        <f>MAX(U14Mruns[[#This Row],[pts1.0117]],U14Mruns[[#This Row],[pts2.0117]],U14Mruns[[#This Row],[pts0121]],U14Mruns[[#This Row],[pts1.0123]],U14Mruns[[#This Row],[pts2.0123]])</f>
        <v>34</v>
      </c>
      <c r="G44" s="5">
        <f>IFERROR(VLOOKUP(U14Mruns[[#This Row],[Card]],results0117[],4,FALSE),999)</f>
        <v>27</v>
      </c>
      <c r="H44" s="5">
        <f>VLOOKUP(U14Mruns[[#This Row],[pos1.0117]],pointstable[],2,FALSE)</f>
        <v>34</v>
      </c>
      <c r="I44" s="5">
        <f>IFERROR(VLOOKUP(U14Mruns[[#This Row],[Card]],results0117[],5,FALSE),999)</f>
        <v>33</v>
      </c>
      <c r="J44" s="5">
        <f>VLOOKUP(U14Mruns[[#This Row],[pos2.0117]],pointstable[],2,FALSE)</f>
        <v>27</v>
      </c>
      <c r="K44" s="5">
        <f>IFERROR(VLOOKUP(U14Mruns[[#This Row],[Card]],results0119[],4,FALSE),999)</f>
        <v>23</v>
      </c>
      <c r="L44" s="5">
        <f>VLOOKUP(U14Mruns[[#This Row],[pos1.0119]],pointstable[],2,FALSE)</f>
        <v>44</v>
      </c>
      <c r="M44" s="5">
        <f>IFERROR(VLOOKUP(U14Mruns[[#This Row],[Card]],results0119[],5,FALSE),999)</f>
        <v>33</v>
      </c>
      <c r="N44" s="5">
        <f>VLOOKUP(U14Mruns[[#This Row],[pos2.0119]],pointstable[],2,FALSE)</f>
        <v>27</v>
      </c>
      <c r="O44" s="5">
        <f>IFERROR(VLOOKUP(U14Mruns[[#This Row],[Card]],results0121[],3,FALSE),999)</f>
        <v>999</v>
      </c>
      <c r="P44" s="5">
        <f>VLOOKUP(U14Mruns[[#This Row],[pos0121]],pointstable[],2,FALSE)</f>
        <v>0</v>
      </c>
      <c r="Q44" s="5">
        <f>IFERROR(VLOOKUP(U14Mruns[[#This Row],[Card]],results0118[],4,FALSE),999)</f>
        <v>46</v>
      </c>
      <c r="R44" s="5">
        <f>VLOOKUP(U14Mruns[[#This Row],[pos1.0118]],pointstable[],2,FALSE)</f>
        <v>14</v>
      </c>
      <c r="S44" s="5">
        <f>IFERROR(VLOOKUP(U14Mruns[[#This Row],[Card]],results0118[],5,FALSE),999)</f>
        <v>61</v>
      </c>
      <c r="T44" s="5">
        <f>VLOOKUP(U14Mruns[[#This Row],[pos2.0118]],pointstable[],2,FALSE)</f>
        <v>0</v>
      </c>
      <c r="U44" s="5">
        <f>IFERROR(VLOOKUP(U14Mruns[[#This Row],[Card]],results0123[],4,FALSE),999)</f>
        <v>46</v>
      </c>
      <c r="V44" s="5">
        <f>VLOOKUP(U14Mruns[[#This Row],[pos1.0123]],pointstable[],2,FALSE)</f>
        <v>14</v>
      </c>
      <c r="W44" s="5">
        <f>IFERROR(VLOOKUP(U14Mruns[[#This Row],[Card]],results0123[],5,FALSE),999)</f>
        <v>56</v>
      </c>
      <c r="X44" s="5">
        <f>VLOOKUP(U14Mruns[[#This Row],[pos2.0123]],pointstable[],2,FALSE)</f>
        <v>4</v>
      </c>
      <c r="Y44" s="5">
        <f>IFERROR(VLOOKUP(U14Mruns[[#This Row],[Card]],results0120[],4,FALSE),999)</f>
        <v>42</v>
      </c>
      <c r="Z44" s="5">
        <f>VLOOKUP(U14Mruns[[#This Row],[pos1.0120]],pointstable[],2,FALSE)</f>
        <v>18</v>
      </c>
      <c r="AA44" s="5">
        <f>IFERROR(VLOOKUP(U14Mruns[[#This Row],[Card]],results0120[],5,FALSE),999)</f>
        <v>33</v>
      </c>
      <c r="AB44" s="5">
        <f>VLOOKUP(U14Mruns[[#This Row],[pos2.0120]],pointstable[],2,FALSE)</f>
        <v>27</v>
      </c>
    </row>
    <row r="45" spans="1:28" x14ac:dyDescent="0.25">
      <c r="A45">
        <v>78276</v>
      </c>
      <c r="B45" t="s">
        <v>92</v>
      </c>
      <c r="C45" t="s">
        <v>31</v>
      </c>
      <c r="D45">
        <v>4</v>
      </c>
      <c r="E45" s="5">
        <f>MAX(U14Mruns[[#This Row],[pts1.0119]],U14Mruns[[#This Row],[pts2.0119]],U14Mruns[[#This Row],[pts1.0118]],U14Mruns[[#This Row],[pts2.0118]],U14Mruns[[#This Row],[pts1.0120]],U14Mruns[[#This Row],[pts2.0120]])</f>
        <v>70</v>
      </c>
      <c r="F45" s="5">
        <f>MAX(U14Mruns[[#This Row],[pts1.0117]],U14Mruns[[#This Row],[pts2.0117]],U14Mruns[[#This Row],[pts0121]],U14Mruns[[#This Row],[pts1.0123]],U14Mruns[[#This Row],[pts2.0123]])</f>
        <v>38</v>
      </c>
      <c r="G45" s="5">
        <f>IFERROR(VLOOKUP(U14Mruns[[#This Row],[Card]],results0117[],4,FALSE),999)</f>
        <v>28</v>
      </c>
      <c r="H45" s="5">
        <f>VLOOKUP(U14Mruns[[#This Row],[pos1.0117]],pointstable[],2,FALSE)</f>
        <v>32</v>
      </c>
      <c r="I45" s="5">
        <f>IFERROR(VLOOKUP(U14Mruns[[#This Row],[Card]],results0117[],5,FALSE),999)</f>
        <v>30</v>
      </c>
      <c r="J45" s="5">
        <f>VLOOKUP(U14Mruns[[#This Row],[pos2.0117]],pointstable[],2,FALSE)</f>
        <v>30</v>
      </c>
      <c r="K45" s="5">
        <f>IFERROR(VLOOKUP(U14Mruns[[#This Row],[Card]],results0119[],4,FALSE),999)</f>
        <v>30</v>
      </c>
      <c r="L45" s="5">
        <f>VLOOKUP(U14Mruns[[#This Row],[pos1.0119]],pointstable[],2,FALSE)</f>
        <v>30</v>
      </c>
      <c r="M45" s="5">
        <f>IFERROR(VLOOKUP(U14Mruns[[#This Row],[Card]],results0119[],5,FALSE),999)</f>
        <v>36</v>
      </c>
      <c r="N45" s="5">
        <f>VLOOKUP(U14Mruns[[#This Row],[pos2.0119]],pointstable[],2,FALSE)</f>
        <v>24</v>
      </c>
      <c r="O45" s="5">
        <f>IFERROR(VLOOKUP(U14Mruns[[#This Row],[Card]],results0121[],3,FALSE),999)</f>
        <v>999</v>
      </c>
      <c r="P45" s="5">
        <f>VLOOKUP(U14Mruns[[#This Row],[pos0121]],pointstable[],2,FALSE)</f>
        <v>0</v>
      </c>
      <c r="Q45" s="5">
        <f>IFERROR(VLOOKUP(U14Mruns[[#This Row],[Card]],results0118[],4,FALSE),999)</f>
        <v>33</v>
      </c>
      <c r="R45" s="5">
        <f>VLOOKUP(U14Mruns[[#This Row],[pos1.0118]],pointstable[],2,FALSE)</f>
        <v>27</v>
      </c>
      <c r="S45" s="5">
        <f>IFERROR(VLOOKUP(U14Mruns[[#This Row],[Card]],results0118[],5,FALSE),999)</f>
        <v>46</v>
      </c>
      <c r="T45" s="5">
        <f>VLOOKUP(U14Mruns[[#This Row],[pos2.0118]],pointstable[],2,FALSE)</f>
        <v>14</v>
      </c>
      <c r="U45" s="5">
        <f>IFERROR(VLOOKUP(U14Mruns[[#This Row],[Card]],results0123[],4,FALSE),999)</f>
        <v>36</v>
      </c>
      <c r="V45" s="5">
        <f>VLOOKUP(U14Mruns[[#This Row],[pos1.0123]],pointstable[],2,FALSE)</f>
        <v>24</v>
      </c>
      <c r="W45" s="5">
        <f>IFERROR(VLOOKUP(U14Mruns[[#This Row],[Card]],results0123[],5,FALSE),999)</f>
        <v>25</v>
      </c>
      <c r="X45" s="5">
        <f>VLOOKUP(U14Mruns[[#This Row],[pos2.0123]],pointstable[],2,FALSE)</f>
        <v>38</v>
      </c>
      <c r="Y45" s="5">
        <f>IFERROR(VLOOKUP(U14Mruns[[#This Row],[Card]],results0120[],4,FALSE),999)</f>
        <v>17</v>
      </c>
      <c r="Z45" s="5">
        <f>VLOOKUP(U14Mruns[[#This Row],[pos1.0120]],pointstable[],2,FALSE)</f>
        <v>70</v>
      </c>
      <c r="AA45" s="5">
        <f>IFERROR(VLOOKUP(U14Mruns[[#This Row],[Card]],results0120[],5,FALSE),999)</f>
        <v>39</v>
      </c>
      <c r="AB45" s="5">
        <f>VLOOKUP(U14Mruns[[#This Row],[pos2.0120]],pointstable[],2,FALSE)</f>
        <v>21</v>
      </c>
    </row>
    <row r="46" spans="1:28" x14ac:dyDescent="0.25">
      <c r="A46">
        <v>80625</v>
      </c>
      <c r="B46" t="s">
        <v>76</v>
      </c>
      <c r="C46" t="s">
        <v>19</v>
      </c>
      <c r="D46">
        <v>4</v>
      </c>
      <c r="E46" s="5">
        <f>MAX(U14Mruns[[#This Row],[pts1.0119]],U14Mruns[[#This Row],[pts2.0119]],U14Mruns[[#This Row],[pts1.0118]],U14Mruns[[#This Row],[pts2.0118]],U14Mruns[[#This Row],[pts1.0120]],U14Mruns[[#This Row],[pts2.0120]])</f>
        <v>60</v>
      </c>
      <c r="F46" s="5">
        <f>MAX(U14Mruns[[#This Row],[pts1.0117]],U14Mruns[[#This Row],[pts2.0117]],U14Mruns[[#This Row],[pts0121]],U14Mruns[[#This Row],[pts1.0123]],U14Mruns[[#This Row],[pts2.0123]])</f>
        <v>70</v>
      </c>
      <c r="G46" s="5">
        <f>IFERROR(VLOOKUP(U14Mruns[[#This Row],[Card]],results0117[],4,FALSE),999)</f>
        <v>29</v>
      </c>
      <c r="H46" s="5">
        <f>VLOOKUP(U14Mruns[[#This Row],[pos1.0117]],pointstable[],2,FALSE)</f>
        <v>31</v>
      </c>
      <c r="I46" s="5">
        <f>IFERROR(VLOOKUP(U14Mruns[[#This Row],[Card]],results0117[],5,FALSE),999)</f>
        <v>999</v>
      </c>
      <c r="J46" s="5">
        <f>VLOOKUP(U14Mruns[[#This Row],[pos2.0117]],pointstable[],2,FALSE)</f>
        <v>0</v>
      </c>
      <c r="K46" s="5">
        <f>IFERROR(VLOOKUP(U14Mruns[[#This Row],[Card]],results0119[],4,FALSE),999)</f>
        <v>22</v>
      </c>
      <c r="L46" s="5">
        <f>VLOOKUP(U14Mruns[[#This Row],[pos1.0119]],pointstable[],2,FALSE)</f>
        <v>47</v>
      </c>
      <c r="M46" s="5">
        <f>IFERROR(VLOOKUP(U14Mruns[[#This Row],[Card]],results0119[],5,FALSE),999)</f>
        <v>28</v>
      </c>
      <c r="N46" s="5">
        <f>VLOOKUP(U14Mruns[[#This Row],[pos2.0119]],pointstable[],2,FALSE)</f>
        <v>32</v>
      </c>
      <c r="O46" s="5">
        <f>IFERROR(VLOOKUP(U14Mruns[[#This Row],[Card]],results0121[],3,FALSE),999)</f>
        <v>999</v>
      </c>
      <c r="P46" s="5">
        <f>VLOOKUP(U14Mruns[[#This Row],[pos0121]],pointstable[],2,FALSE)</f>
        <v>0</v>
      </c>
      <c r="Q46" s="5">
        <f>IFERROR(VLOOKUP(U14Mruns[[#This Row],[Card]],results0118[],4,FALSE),999)</f>
        <v>34</v>
      </c>
      <c r="R46" s="5">
        <f>VLOOKUP(U14Mruns[[#This Row],[pos1.0118]],pointstable[],2,FALSE)</f>
        <v>26</v>
      </c>
      <c r="S46" s="5">
        <f>IFERROR(VLOOKUP(U14Mruns[[#This Row],[Card]],results0118[],5,FALSE),999)</f>
        <v>19</v>
      </c>
      <c r="T46" s="5">
        <f>VLOOKUP(U14Mruns[[#This Row],[pos2.0118]],pointstable[],2,FALSE)</f>
        <v>60</v>
      </c>
      <c r="U46" s="5">
        <f>IFERROR(VLOOKUP(U14Mruns[[#This Row],[Card]],results0123[],4,FALSE),999)</f>
        <v>23</v>
      </c>
      <c r="V46" s="5">
        <f>VLOOKUP(U14Mruns[[#This Row],[pos1.0123]],pointstable[],2,FALSE)</f>
        <v>44</v>
      </c>
      <c r="W46" s="5">
        <f>IFERROR(VLOOKUP(U14Mruns[[#This Row],[Card]],results0123[],5,FALSE),999)</f>
        <v>17</v>
      </c>
      <c r="X46" s="5">
        <f>VLOOKUP(U14Mruns[[#This Row],[pos2.0123]],pointstable[],2,FALSE)</f>
        <v>70</v>
      </c>
      <c r="Y46" s="5">
        <f>IFERROR(VLOOKUP(U14Mruns[[#This Row],[Card]],results0120[],4,FALSE),999)</f>
        <v>28</v>
      </c>
      <c r="Z46" s="5">
        <f>VLOOKUP(U14Mruns[[#This Row],[pos1.0120]],pointstable[],2,FALSE)</f>
        <v>32</v>
      </c>
      <c r="AA46" s="5">
        <f>IFERROR(VLOOKUP(U14Mruns[[#This Row],[Card]],results0120[],5,FALSE),999)</f>
        <v>21</v>
      </c>
      <c r="AB46" s="5">
        <f>VLOOKUP(U14Mruns[[#This Row],[pos2.0120]],pointstable[],2,FALSE)</f>
        <v>51</v>
      </c>
    </row>
    <row r="47" spans="1:28" x14ac:dyDescent="0.25">
      <c r="A47">
        <v>80828</v>
      </c>
      <c r="B47" t="s">
        <v>88</v>
      </c>
      <c r="C47" t="s">
        <v>54</v>
      </c>
      <c r="D47">
        <v>5</v>
      </c>
      <c r="E47" s="5">
        <f>MAX(U14Mruns[[#This Row],[pts1.0119]],U14Mruns[[#This Row],[pts2.0119]],U14Mruns[[#This Row],[pts1.0118]],U14Mruns[[#This Row],[pts2.0118]],U14Mruns[[#This Row],[pts1.0120]],U14Mruns[[#This Row],[pts2.0120]])</f>
        <v>25</v>
      </c>
      <c r="F47" s="5">
        <f>MAX(U14Mruns[[#This Row],[pts1.0117]],U14Mruns[[#This Row],[pts2.0117]],U14Mruns[[#This Row],[pts0121]],U14Mruns[[#This Row],[pts1.0123]],U14Mruns[[#This Row],[pts2.0123]])</f>
        <v>60</v>
      </c>
      <c r="G47" s="5">
        <f>IFERROR(VLOOKUP(U14Mruns[[#This Row],[Card]],results0117[],4,FALSE),999)</f>
        <v>29</v>
      </c>
      <c r="H47" s="5">
        <f>VLOOKUP(U14Mruns[[#This Row],[pos1.0117]],pointstable[],2,FALSE)</f>
        <v>31</v>
      </c>
      <c r="I47" s="5">
        <f>IFERROR(VLOOKUP(U14Mruns[[#This Row],[Card]],results0117[],5,FALSE),999)</f>
        <v>34</v>
      </c>
      <c r="J47" s="5">
        <f>VLOOKUP(U14Mruns[[#This Row],[pos2.0117]],pointstable[],2,FALSE)</f>
        <v>26</v>
      </c>
      <c r="K47" s="5">
        <f>IFERROR(VLOOKUP(U14Mruns[[#This Row],[Card]],results0119[],4,FALSE),999)</f>
        <v>35</v>
      </c>
      <c r="L47" s="5">
        <f>VLOOKUP(U14Mruns[[#This Row],[pos1.0119]],pointstable[],2,FALSE)</f>
        <v>25</v>
      </c>
      <c r="M47" s="5">
        <f>IFERROR(VLOOKUP(U14Mruns[[#This Row],[Card]],results0119[],5,FALSE),999)</f>
        <v>49</v>
      </c>
      <c r="N47" s="5">
        <f>VLOOKUP(U14Mruns[[#This Row],[pos2.0119]],pointstable[],2,FALSE)</f>
        <v>11</v>
      </c>
      <c r="O47" s="5">
        <f>IFERROR(VLOOKUP(U14Mruns[[#This Row],[Card]],results0121[],3,FALSE),999)</f>
        <v>36</v>
      </c>
      <c r="P47" s="5">
        <f>VLOOKUP(U14Mruns[[#This Row],[pos0121]],pointstable[],2,FALSE)</f>
        <v>24</v>
      </c>
      <c r="Q47" s="5">
        <f>IFERROR(VLOOKUP(U14Mruns[[#This Row],[Card]],results0118[],4,FALSE),999)</f>
        <v>48</v>
      </c>
      <c r="R47" s="5">
        <f>VLOOKUP(U14Mruns[[#This Row],[pos1.0118]],pointstable[],2,FALSE)</f>
        <v>12</v>
      </c>
      <c r="S47" s="5">
        <f>IFERROR(VLOOKUP(U14Mruns[[#This Row],[Card]],results0118[],5,FALSE),999)</f>
        <v>42</v>
      </c>
      <c r="T47" s="5">
        <f>VLOOKUP(U14Mruns[[#This Row],[pos2.0118]],pointstable[],2,FALSE)</f>
        <v>18</v>
      </c>
      <c r="U47" s="5">
        <f>IFERROR(VLOOKUP(U14Mruns[[#This Row],[Card]],results0123[],4,FALSE),999)</f>
        <v>19</v>
      </c>
      <c r="V47" s="5">
        <f>VLOOKUP(U14Mruns[[#This Row],[pos1.0123]],pointstable[],2,FALSE)</f>
        <v>60</v>
      </c>
      <c r="W47" s="5">
        <f>IFERROR(VLOOKUP(U14Mruns[[#This Row],[Card]],results0123[],5,FALSE),999)</f>
        <v>34</v>
      </c>
      <c r="X47" s="5">
        <f>VLOOKUP(U14Mruns[[#This Row],[pos2.0123]],pointstable[],2,FALSE)</f>
        <v>26</v>
      </c>
      <c r="Y47" s="5">
        <f>IFERROR(VLOOKUP(U14Mruns[[#This Row],[Card]],results0120[],4,FALSE),999)</f>
        <v>999</v>
      </c>
      <c r="Z47" s="5">
        <f>VLOOKUP(U14Mruns[[#This Row],[pos1.0120]],pointstable[],2,FALSE)</f>
        <v>0</v>
      </c>
      <c r="AA47" s="5">
        <f>IFERROR(VLOOKUP(U14Mruns[[#This Row],[Card]],results0120[],5,FALSE),999)</f>
        <v>999</v>
      </c>
      <c r="AB47" s="5">
        <f>VLOOKUP(U14Mruns[[#This Row],[pos2.0120]],pointstable[],2,FALSE)</f>
        <v>0</v>
      </c>
    </row>
    <row r="48" spans="1:28" x14ac:dyDescent="0.25">
      <c r="A48">
        <v>77258</v>
      </c>
      <c r="B48" t="s">
        <v>214</v>
      </c>
      <c r="C48" t="s">
        <v>42</v>
      </c>
      <c r="D48">
        <v>4</v>
      </c>
      <c r="E48" s="5">
        <f>MAX(U14Mruns[[#This Row],[pts1.0119]],U14Mruns[[#This Row],[pts2.0119]],U14Mruns[[#This Row],[pts1.0118]],U14Mruns[[#This Row],[pts2.0118]],U14Mruns[[#This Row],[pts1.0120]],U14Mruns[[#This Row],[pts2.0120]])</f>
        <v>0</v>
      </c>
      <c r="F48" s="5">
        <f>MAX(U14Mruns[[#This Row],[pts1.0117]],U14Mruns[[#This Row],[pts2.0117]],U14Mruns[[#This Row],[pts0121]],U14Mruns[[#This Row],[pts1.0123]],U14Mruns[[#This Row],[pts2.0123]])</f>
        <v>31</v>
      </c>
      <c r="G48" s="5">
        <f>IFERROR(VLOOKUP(U14Mruns[[#This Row],[Card]],results0117[],4,FALSE),999)</f>
        <v>999</v>
      </c>
      <c r="H48" s="5">
        <f>VLOOKUP(U14Mruns[[#This Row],[pos1.0117]],pointstable[],2,FALSE)</f>
        <v>0</v>
      </c>
      <c r="I48" s="5">
        <f>IFERROR(VLOOKUP(U14Mruns[[#This Row],[Card]],results0117[],5,FALSE),999)</f>
        <v>999</v>
      </c>
      <c r="J48" s="5">
        <f>VLOOKUP(U14Mruns[[#This Row],[pos2.0117]],pointstable[],2,FALSE)</f>
        <v>0</v>
      </c>
      <c r="K48" s="5">
        <f>IFERROR(VLOOKUP(U14Mruns[[#This Row],[Card]],results0119[],4,FALSE),999)</f>
        <v>999</v>
      </c>
      <c r="L48" s="5">
        <f>VLOOKUP(U14Mruns[[#This Row],[pos1.0119]],pointstable[],2,FALSE)</f>
        <v>0</v>
      </c>
      <c r="M48" s="5">
        <f>IFERROR(VLOOKUP(U14Mruns[[#This Row],[Card]],results0119[],5,FALSE),999)</f>
        <v>999</v>
      </c>
      <c r="N48" s="5">
        <f>VLOOKUP(U14Mruns[[#This Row],[pos2.0119]],pointstable[],2,FALSE)</f>
        <v>0</v>
      </c>
      <c r="O48" s="5">
        <f>IFERROR(VLOOKUP(U14Mruns[[#This Row],[Card]],results0121[],3,FALSE),999)</f>
        <v>29</v>
      </c>
      <c r="P48" s="5">
        <f>VLOOKUP(U14Mruns[[#This Row],[pos0121]],pointstable[],2,FALSE)</f>
        <v>31</v>
      </c>
      <c r="Q48" s="5">
        <f>IFERROR(VLOOKUP(U14Mruns[[#This Row],[Card]],results0118[],4,FALSE),999)</f>
        <v>999</v>
      </c>
      <c r="R48" s="5">
        <f>VLOOKUP(U14Mruns[[#This Row],[pos1.0118]],pointstable[],2,FALSE)</f>
        <v>0</v>
      </c>
      <c r="S48" s="5">
        <f>IFERROR(VLOOKUP(U14Mruns[[#This Row],[Card]],results0118[],5,FALSE),999)</f>
        <v>999</v>
      </c>
      <c r="T48" s="5">
        <f>VLOOKUP(U14Mruns[[#This Row],[pos2.0118]],pointstable[],2,FALSE)</f>
        <v>0</v>
      </c>
      <c r="U48" s="5">
        <f>IFERROR(VLOOKUP(U14Mruns[[#This Row],[Card]],results0123[],4,FALSE),999)</f>
        <v>999</v>
      </c>
      <c r="V48" s="5">
        <f>VLOOKUP(U14Mruns[[#This Row],[pos1.0123]],pointstable[],2,FALSE)</f>
        <v>0</v>
      </c>
      <c r="W48" s="5">
        <f>IFERROR(VLOOKUP(U14Mruns[[#This Row],[Card]],results0123[],5,FALSE),999)</f>
        <v>999</v>
      </c>
      <c r="X48" s="5">
        <f>VLOOKUP(U14Mruns[[#This Row],[pos2.0123]],pointstable[],2,FALSE)</f>
        <v>0</v>
      </c>
      <c r="Y48" s="5">
        <f>IFERROR(VLOOKUP(U14Mruns[[#This Row],[Card]],results0120[],4,FALSE),999)</f>
        <v>999</v>
      </c>
      <c r="Z48" s="5">
        <f>VLOOKUP(U14Mruns[[#This Row],[pos1.0120]],pointstable[],2,FALSE)</f>
        <v>0</v>
      </c>
      <c r="AA48" s="5">
        <f>IFERROR(VLOOKUP(U14Mruns[[#This Row],[Card]],results0120[],5,FALSE),999)</f>
        <v>999</v>
      </c>
      <c r="AB48" s="5">
        <f>VLOOKUP(U14Mruns[[#This Row],[pos2.0120]],pointstable[],2,FALSE)</f>
        <v>0</v>
      </c>
    </row>
    <row r="49" spans="1:28" x14ac:dyDescent="0.25">
      <c r="A49">
        <v>80720</v>
      </c>
      <c r="B49" t="s">
        <v>98</v>
      </c>
      <c r="C49" t="s">
        <v>22</v>
      </c>
      <c r="D49">
        <v>5</v>
      </c>
      <c r="E49" s="5">
        <f>MAX(U14Mruns[[#This Row],[pts1.0119]],U14Mruns[[#This Row],[pts2.0119]],U14Mruns[[#This Row],[pts1.0118]],U14Mruns[[#This Row],[pts2.0118]],U14Mruns[[#This Row],[pts1.0120]],U14Mruns[[#This Row],[pts2.0120]])</f>
        <v>80</v>
      </c>
      <c r="F49" s="5">
        <f>MAX(U14Mruns[[#This Row],[pts1.0117]],U14Mruns[[#This Row],[pts2.0117]],U14Mruns[[#This Row],[pts0121]],U14Mruns[[#This Row],[pts1.0123]],U14Mruns[[#This Row],[pts2.0123]])</f>
        <v>51</v>
      </c>
      <c r="G49" s="5">
        <f>IFERROR(VLOOKUP(U14Mruns[[#This Row],[Card]],results0117[],4,FALSE),999)</f>
        <v>32</v>
      </c>
      <c r="H49" s="5">
        <f>VLOOKUP(U14Mruns[[#This Row],[pos1.0117]],pointstable[],2,FALSE)</f>
        <v>28</v>
      </c>
      <c r="I49" s="5">
        <f>IFERROR(VLOOKUP(U14Mruns[[#This Row],[Card]],results0117[],5,FALSE),999)</f>
        <v>30</v>
      </c>
      <c r="J49" s="5">
        <f>VLOOKUP(U14Mruns[[#This Row],[pos2.0117]],pointstable[],2,FALSE)</f>
        <v>30</v>
      </c>
      <c r="K49" s="5">
        <f>IFERROR(VLOOKUP(U14Mruns[[#This Row],[Card]],results0119[],4,FALSE),999)</f>
        <v>70</v>
      </c>
      <c r="L49" s="5">
        <f>VLOOKUP(U14Mruns[[#This Row],[pos1.0119]],pointstable[],2,FALSE)</f>
        <v>0</v>
      </c>
      <c r="M49" s="5">
        <f>IFERROR(VLOOKUP(U14Mruns[[#This Row],[Card]],results0119[],5,FALSE),999)</f>
        <v>15</v>
      </c>
      <c r="N49" s="5">
        <f>VLOOKUP(U14Mruns[[#This Row],[pos2.0119]],pointstable[],2,FALSE)</f>
        <v>80</v>
      </c>
      <c r="O49" s="5">
        <f>IFERROR(VLOOKUP(U14Mruns[[#This Row],[Card]],results0121[],3,FALSE),999)</f>
        <v>31</v>
      </c>
      <c r="P49" s="5">
        <f>VLOOKUP(U14Mruns[[#This Row],[pos0121]],pointstable[],2,FALSE)</f>
        <v>29</v>
      </c>
      <c r="Q49" s="5">
        <f>IFERROR(VLOOKUP(U14Mruns[[#This Row],[Card]],results0118[],4,FALSE),999)</f>
        <v>40</v>
      </c>
      <c r="R49" s="5">
        <f>VLOOKUP(U14Mruns[[#This Row],[pos1.0118]],pointstable[],2,FALSE)</f>
        <v>20</v>
      </c>
      <c r="S49" s="5">
        <f>IFERROR(VLOOKUP(U14Mruns[[#This Row],[Card]],results0118[],5,FALSE),999)</f>
        <v>25</v>
      </c>
      <c r="T49" s="5">
        <f>VLOOKUP(U14Mruns[[#This Row],[pos2.0118]],pointstable[],2,FALSE)</f>
        <v>38</v>
      </c>
      <c r="U49" s="5">
        <f>IFERROR(VLOOKUP(U14Mruns[[#This Row],[Card]],results0123[],4,FALSE),999)</f>
        <v>21</v>
      </c>
      <c r="V49" s="5">
        <f>VLOOKUP(U14Mruns[[#This Row],[pos1.0123]],pointstable[],2,FALSE)</f>
        <v>51</v>
      </c>
      <c r="W49" s="5">
        <f>IFERROR(VLOOKUP(U14Mruns[[#This Row],[Card]],results0123[],5,FALSE),999)</f>
        <v>999</v>
      </c>
      <c r="X49" s="5">
        <f>VLOOKUP(U14Mruns[[#This Row],[pos2.0123]],pointstable[],2,FALSE)</f>
        <v>0</v>
      </c>
      <c r="Y49" s="5">
        <f>IFERROR(VLOOKUP(U14Mruns[[#This Row],[Card]],results0120[],4,FALSE),999)</f>
        <v>27</v>
      </c>
      <c r="Z49" s="5">
        <f>VLOOKUP(U14Mruns[[#This Row],[pos1.0120]],pointstable[],2,FALSE)</f>
        <v>34</v>
      </c>
      <c r="AA49" s="5">
        <f>IFERROR(VLOOKUP(U14Mruns[[#This Row],[Card]],results0120[],5,FALSE),999)</f>
        <v>75</v>
      </c>
      <c r="AB49" s="5">
        <f>VLOOKUP(U14Mruns[[#This Row],[pos2.0120]],pointstable[],2,FALSE)</f>
        <v>0</v>
      </c>
    </row>
    <row r="50" spans="1:28" x14ac:dyDescent="0.25">
      <c r="A50">
        <v>76572</v>
      </c>
      <c r="B50" t="s">
        <v>109</v>
      </c>
      <c r="C50" t="s">
        <v>38</v>
      </c>
      <c r="D50">
        <v>4</v>
      </c>
      <c r="E50" s="5">
        <f>MAX(U14Mruns[[#This Row],[pts1.0119]],U14Mruns[[#This Row],[pts2.0119]],U14Mruns[[#This Row],[pts1.0118]],U14Mruns[[#This Row],[pts2.0118]],U14Mruns[[#This Row],[pts1.0120]],U14Mruns[[#This Row],[pts2.0120]])</f>
        <v>19</v>
      </c>
      <c r="F50" s="5">
        <f>MAX(U14Mruns[[#This Row],[pts1.0117]],U14Mruns[[#This Row],[pts2.0117]],U14Mruns[[#This Row],[pts0121]],U14Mruns[[#This Row],[pts1.0123]],U14Mruns[[#This Row],[pts2.0123]])</f>
        <v>30</v>
      </c>
      <c r="G50" s="5">
        <f>IFERROR(VLOOKUP(U14Mruns[[#This Row],[Card]],results0117[],4,FALSE),999)</f>
        <v>54</v>
      </c>
      <c r="H50" s="5">
        <f>VLOOKUP(U14Mruns[[#This Row],[pos1.0117]],pointstable[],2,FALSE)</f>
        <v>6</v>
      </c>
      <c r="I50" s="5">
        <f>IFERROR(VLOOKUP(U14Mruns[[#This Row],[Card]],results0117[],5,FALSE),999)</f>
        <v>60</v>
      </c>
      <c r="J50" s="5">
        <f>VLOOKUP(U14Mruns[[#This Row],[pos2.0117]],pointstable[],2,FALSE)</f>
        <v>1</v>
      </c>
      <c r="K50" s="5">
        <f>IFERROR(VLOOKUP(U14Mruns[[#This Row],[Card]],results0119[],4,FALSE),999)</f>
        <v>41</v>
      </c>
      <c r="L50" s="5">
        <f>VLOOKUP(U14Mruns[[#This Row],[pos1.0119]],pointstable[],2,FALSE)</f>
        <v>19</v>
      </c>
      <c r="M50" s="5">
        <f>IFERROR(VLOOKUP(U14Mruns[[#This Row],[Card]],results0119[],5,FALSE),999)</f>
        <v>58</v>
      </c>
      <c r="N50" s="5">
        <f>VLOOKUP(U14Mruns[[#This Row],[pos2.0119]],pointstable[],2,FALSE)</f>
        <v>2</v>
      </c>
      <c r="O50" s="5">
        <f>IFERROR(VLOOKUP(U14Mruns[[#This Row],[Card]],results0121[],3,FALSE),999)</f>
        <v>30</v>
      </c>
      <c r="P50" s="5">
        <f>VLOOKUP(U14Mruns[[#This Row],[pos0121]],pointstable[],2,FALSE)</f>
        <v>30</v>
      </c>
      <c r="Q50" s="5">
        <f>IFERROR(VLOOKUP(U14Mruns[[#This Row],[Card]],results0118[],4,FALSE),999)</f>
        <v>66</v>
      </c>
      <c r="R50" s="5">
        <f>VLOOKUP(U14Mruns[[#This Row],[pos1.0118]],pointstable[],2,FALSE)</f>
        <v>0</v>
      </c>
      <c r="S50" s="5">
        <f>IFERROR(VLOOKUP(U14Mruns[[#This Row],[Card]],results0118[],5,FALSE),999)</f>
        <v>52</v>
      </c>
      <c r="T50" s="5">
        <f>VLOOKUP(U14Mruns[[#This Row],[pos2.0118]],pointstable[],2,FALSE)</f>
        <v>8</v>
      </c>
      <c r="U50" s="5">
        <f>IFERROR(VLOOKUP(U14Mruns[[#This Row],[Card]],results0123[],4,FALSE),999)</f>
        <v>41</v>
      </c>
      <c r="V50" s="5">
        <f>VLOOKUP(U14Mruns[[#This Row],[pos1.0123]],pointstable[],2,FALSE)</f>
        <v>19</v>
      </c>
      <c r="W50" s="5">
        <f>IFERROR(VLOOKUP(U14Mruns[[#This Row],[Card]],results0123[],5,FALSE),999)</f>
        <v>38</v>
      </c>
      <c r="X50" s="5">
        <f>VLOOKUP(U14Mruns[[#This Row],[pos2.0123]],pointstable[],2,FALSE)</f>
        <v>22</v>
      </c>
      <c r="Y50" s="5">
        <f>IFERROR(VLOOKUP(U14Mruns[[#This Row],[Card]],results0120[],4,FALSE),999)</f>
        <v>56</v>
      </c>
      <c r="Z50" s="5">
        <f>VLOOKUP(U14Mruns[[#This Row],[pos1.0120]],pointstable[],2,FALSE)</f>
        <v>4</v>
      </c>
      <c r="AA50" s="5">
        <f>IFERROR(VLOOKUP(U14Mruns[[#This Row],[Card]],results0120[],5,FALSE),999)</f>
        <v>999</v>
      </c>
      <c r="AB50" s="5">
        <f>VLOOKUP(U14Mruns[[#This Row],[pos2.0120]],pointstable[],2,FALSE)</f>
        <v>0</v>
      </c>
    </row>
    <row r="51" spans="1:28" x14ac:dyDescent="0.25">
      <c r="A51">
        <v>81112</v>
      </c>
      <c r="B51" t="s">
        <v>63</v>
      </c>
      <c r="C51" t="s">
        <v>22</v>
      </c>
      <c r="D51">
        <v>4</v>
      </c>
      <c r="E51" s="5">
        <f>MAX(U14Mruns[[#This Row],[pts1.0119]],U14Mruns[[#This Row],[pts2.0119]],U14Mruns[[#This Row],[pts1.0118]],U14Mruns[[#This Row],[pts2.0118]],U14Mruns[[#This Row],[pts1.0120]],U14Mruns[[#This Row],[pts2.0120]])</f>
        <v>60</v>
      </c>
      <c r="F51" s="5">
        <f>MAX(U14Mruns[[#This Row],[pts1.0117]],U14Mruns[[#This Row],[pts2.0117]],U14Mruns[[#This Row],[pts0121]],U14Mruns[[#This Row],[pts1.0123]],U14Mruns[[#This Row],[pts2.0123]])</f>
        <v>51</v>
      </c>
      <c r="G51" s="5">
        <f>IFERROR(VLOOKUP(U14Mruns[[#This Row],[Card]],results0117[],4,FALSE),999)</f>
        <v>40</v>
      </c>
      <c r="H51" s="5">
        <f>VLOOKUP(U14Mruns[[#This Row],[pos1.0117]],pointstable[],2,FALSE)</f>
        <v>20</v>
      </c>
      <c r="I51" s="5">
        <f>IFERROR(VLOOKUP(U14Mruns[[#This Row],[Card]],results0117[],5,FALSE),999)</f>
        <v>999</v>
      </c>
      <c r="J51" s="5">
        <f>VLOOKUP(U14Mruns[[#This Row],[pos2.0117]],pointstable[],2,FALSE)</f>
        <v>0</v>
      </c>
      <c r="K51" s="5">
        <f>IFERROR(VLOOKUP(U14Mruns[[#This Row],[Card]],results0119[],4,FALSE),999)</f>
        <v>999</v>
      </c>
      <c r="L51" s="5">
        <f>VLOOKUP(U14Mruns[[#This Row],[pos1.0119]],pointstable[],2,FALSE)</f>
        <v>0</v>
      </c>
      <c r="M51" s="5">
        <f>IFERROR(VLOOKUP(U14Mruns[[#This Row],[Card]],results0119[],5,FALSE),999)</f>
        <v>999</v>
      </c>
      <c r="N51" s="5">
        <f>VLOOKUP(U14Mruns[[#This Row],[pos2.0119]],pointstable[],2,FALSE)</f>
        <v>0</v>
      </c>
      <c r="O51" s="5">
        <f>IFERROR(VLOOKUP(U14Mruns[[#This Row],[Card]],results0121[],3,FALSE),999)</f>
        <v>32</v>
      </c>
      <c r="P51" s="5">
        <f>VLOOKUP(U14Mruns[[#This Row],[pos0121]],pointstable[],2,FALSE)</f>
        <v>28</v>
      </c>
      <c r="Q51" s="5">
        <f>IFERROR(VLOOKUP(U14Mruns[[#This Row],[Card]],results0118[],4,FALSE),999)</f>
        <v>999</v>
      </c>
      <c r="R51" s="5">
        <f>VLOOKUP(U14Mruns[[#This Row],[pos1.0118]],pointstable[],2,FALSE)</f>
        <v>0</v>
      </c>
      <c r="S51" s="5">
        <f>IFERROR(VLOOKUP(U14Mruns[[#This Row],[Card]],results0118[],5,FALSE),999)</f>
        <v>20</v>
      </c>
      <c r="T51" s="5">
        <f>VLOOKUP(U14Mruns[[#This Row],[pos2.0118]],pointstable[],2,FALSE)</f>
        <v>55</v>
      </c>
      <c r="U51" s="5">
        <f>IFERROR(VLOOKUP(U14Mruns[[#This Row],[Card]],results0123[],4,FALSE),999)</f>
        <v>28</v>
      </c>
      <c r="V51" s="5">
        <f>VLOOKUP(U14Mruns[[#This Row],[pos1.0123]],pointstable[],2,FALSE)</f>
        <v>32</v>
      </c>
      <c r="W51" s="5">
        <f>IFERROR(VLOOKUP(U14Mruns[[#This Row],[Card]],results0123[],5,FALSE),999)</f>
        <v>21</v>
      </c>
      <c r="X51" s="5">
        <f>VLOOKUP(U14Mruns[[#This Row],[pos2.0123]],pointstable[],2,FALSE)</f>
        <v>51</v>
      </c>
      <c r="Y51" s="5">
        <f>IFERROR(VLOOKUP(U14Mruns[[#This Row],[Card]],results0120[],4,FALSE),999)</f>
        <v>19</v>
      </c>
      <c r="Z51" s="5">
        <f>VLOOKUP(U14Mruns[[#This Row],[pos1.0120]],pointstable[],2,FALSE)</f>
        <v>60</v>
      </c>
      <c r="AA51" s="5">
        <f>IFERROR(VLOOKUP(U14Mruns[[#This Row],[Card]],results0120[],5,FALSE),999)</f>
        <v>999</v>
      </c>
      <c r="AB51" s="5">
        <f>VLOOKUP(U14Mruns[[#This Row],[pos2.0120]],pointstable[],2,FALSE)</f>
        <v>0</v>
      </c>
    </row>
    <row r="52" spans="1:28" x14ac:dyDescent="0.25">
      <c r="A52">
        <v>82441</v>
      </c>
      <c r="B52" t="s">
        <v>96</v>
      </c>
      <c r="C52" t="s">
        <v>15</v>
      </c>
      <c r="D52">
        <v>4</v>
      </c>
      <c r="E52" s="5">
        <f>MAX(U14Mruns[[#This Row],[pts1.0119]],U14Mruns[[#This Row],[pts2.0119]],U14Mruns[[#This Row],[pts1.0118]],U14Mruns[[#This Row],[pts2.0118]],U14Mruns[[#This Row],[pts1.0120]],U14Mruns[[#This Row],[pts2.0120]])</f>
        <v>47</v>
      </c>
      <c r="F52" s="5">
        <f>MAX(U14Mruns[[#This Row],[pts1.0117]],U14Mruns[[#This Row],[pts2.0117]],U14Mruns[[#This Row],[pts0121]],U14Mruns[[#This Row],[pts1.0123]],U14Mruns[[#This Row],[pts2.0123]])</f>
        <v>26</v>
      </c>
      <c r="G52" s="5">
        <f>IFERROR(VLOOKUP(U14Mruns[[#This Row],[Card]],results0117[],4,FALSE),999)</f>
        <v>999</v>
      </c>
      <c r="H52" s="5">
        <f>VLOOKUP(U14Mruns[[#This Row],[pos1.0117]],pointstable[],2,FALSE)</f>
        <v>0</v>
      </c>
      <c r="I52" s="5">
        <f>IFERROR(VLOOKUP(U14Mruns[[#This Row],[Card]],results0117[],5,FALSE),999)</f>
        <v>34</v>
      </c>
      <c r="J52" s="5">
        <f>VLOOKUP(U14Mruns[[#This Row],[pos2.0117]],pointstable[],2,FALSE)</f>
        <v>26</v>
      </c>
      <c r="K52" s="5">
        <f>IFERROR(VLOOKUP(U14Mruns[[#This Row],[Card]],results0119[],4,FALSE),999)</f>
        <v>999</v>
      </c>
      <c r="L52" s="5">
        <f>VLOOKUP(U14Mruns[[#This Row],[pos1.0119]],pointstable[],2,FALSE)</f>
        <v>0</v>
      </c>
      <c r="M52" s="5">
        <f>IFERROR(VLOOKUP(U14Mruns[[#This Row],[Card]],results0119[],5,FALSE),999)</f>
        <v>28</v>
      </c>
      <c r="N52" s="5">
        <f>VLOOKUP(U14Mruns[[#This Row],[pos2.0119]],pointstable[],2,FALSE)</f>
        <v>32</v>
      </c>
      <c r="O52" s="5">
        <f>IFERROR(VLOOKUP(U14Mruns[[#This Row],[Card]],results0121[],3,FALSE),999)</f>
        <v>999</v>
      </c>
      <c r="P52" s="5">
        <f>VLOOKUP(U14Mruns[[#This Row],[pos0121]],pointstable[],2,FALSE)</f>
        <v>0</v>
      </c>
      <c r="Q52" s="5">
        <f>IFERROR(VLOOKUP(U14Mruns[[#This Row],[Card]],results0118[],4,FALSE),999)</f>
        <v>22</v>
      </c>
      <c r="R52" s="5">
        <f>VLOOKUP(U14Mruns[[#This Row],[pos1.0118]],pointstable[],2,FALSE)</f>
        <v>47</v>
      </c>
      <c r="S52" s="5">
        <f>IFERROR(VLOOKUP(U14Mruns[[#This Row],[Card]],results0118[],5,FALSE),999)</f>
        <v>36</v>
      </c>
      <c r="T52" s="5">
        <f>VLOOKUP(U14Mruns[[#This Row],[pos2.0118]],pointstable[],2,FALSE)</f>
        <v>24</v>
      </c>
      <c r="U52" s="5">
        <f>IFERROR(VLOOKUP(U14Mruns[[#This Row],[Card]],results0123[],4,FALSE),999)</f>
        <v>999</v>
      </c>
      <c r="V52" s="5">
        <f>VLOOKUP(U14Mruns[[#This Row],[pos1.0123]],pointstable[],2,FALSE)</f>
        <v>0</v>
      </c>
      <c r="W52" s="5">
        <f>IFERROR(VLOOKUP(U14Mruns[[#This Row],[Card]],results0123[],5,FALSE),999)</f>
        <v>999</v>
      </c>
      <c r="X52" s="5">
        <f>VLOOKUP(U14Mruns[[#This Row],[pos2.0123]],pointstable[],2,FALSE)</f>
        <v>0</v>
      </c>
      <c r="Y52" s="5">
        <f>IFERROR(VLOOKUP(U14Mruns[[#This Row],[Card]],results0120[],4,FALSE),999)</f>
        <v>999</v>
      </c>
      <c r="Z52" s="5">
        <f>VLOOKUP(U14Mruns[[#This Row],[pos1.0120]],pointstable[],2,FALSE)</f>
        <v>0</v>
      </c>
      <c r="AA52" s="5">
        <f>IFERROR(VLOOKUP(U14Mruns[[#This Row],[Card]],results0120[],5,FALSE),999)</f>
        <v>25</v>
      </c>
      <c r="AB52" s="5">
        <f>VLOOKUP(U14Mruns[[#This Row],[pos2.0120]],pointstable[],2,FALSE)</f>
        <v>38</v>
      </c>
    </row>
    <row r="53" spans="1:28" x14ac:dyDescent="0.25">
      <c r="A53">
        <v>85546</v>
      </c>
      <c r="B53" t="s">
        <v>221</v>
      </c>
      <c r="C53" t="s">
        <v>117</v>
      </c>
      <c r="D53">
        <v>4</v>
      </c>
      <c r="E53" s="5">
        <f>MAX(U14Mruns[[#This Row],[pts1.0119]],U14Mruns[[#This Row],[pts2.0119]],U14Mruns[[#This Row],[pts1.0118]],U14Mruns[[#This Row],[pts2.0118]],U14Mruns[[#This Row],[pts1.0120]],U14Mruns[[#This Row],[pts2.0120]])</f>
        <v>5</v>
      </c>
      <c r="F53" s="5">
        <f>MAX(U14Mruns[[#This Row],[pts1.0117]],U14Mruns[[#This Row],[pts2.0117]],U14Mruns[[#This Row],[pts0121]],U14Mruns[[#This Row],[pts1.0123]],U14Mruns[[#This Row],[pts2.0123]])</f>
        <v>26</v>
      </c>
      <c r="G53" s="5">
        <f>IFERROR(VLOOKUP(U14Mruns[[#This Row],[Card]],results0117[],4,FALSE),999)</f>
        <v>50</v>
      </c>
      <c r="H53" s="5">
        <f>VLOOKUP(U14Mruns[[#This Row],[pos1.0117]],pointstable[],2,FALSE)</f>
        <v>10</v>
      </c>
      <c r="I53" s="5">
        <f>IFERROR(VLOOKUP(U14Mruns[[#This Row],[Card]],results0117[],5,FALSE),999)</f>
        <v>52</v>
      </c>
      <c r="J53" s="5">
        <f>VLOOKUP(U14Mruns[[#This Row],[pos2.0117]],pointstable[],2,FALSE)</f>
        <v>8</v>
      </c>
      <c r="K53" s="5">
        <f>IFERROR(VLOOKUP(U14Mruns[[#This Row],[Card]],results0119[],4,FALSE),999)</f>
        <v>999</v>
      </c>
      <c r="L53" s="5">
        <f>VLOOKUP(U14Mruns[[#This Row],[pos1.0119]],pointstable[],2,FALSE)</f>
        <v>0</v>
      </c>
      <c r="M53" s="5">
        <f>IFERROR(VLOOKUP(U14Mruns[[#This Row],[Card]],results0119[],5,FALSE),999)</f>
        <v>87</v>
      </c>
      <c r="N53" s="5">
        <f>VLOOKUP(U14Mruns[[#This Row],[pos2.0119]],pointstable[],2,FALSE)</f>
        <v>0</v>
      </c>
      <c r="O53" s="5">
        <f>IFERROR(VLOOKUP(U14Mruns[[#This Row],[Card]],results0121[],3,FALSE),999)</f>
        <v>34</v>
      </c>
      <c r="P53" s="5">
        <f>VLOOKUP(U14Mruns[[#This Row],[pos0121]],pointstable[],2,FALSE)</f>
        <v>26</v>
      </c>
      <c r="Q53" s="5">
        <f>IFERROR(VLOOKUP(U14Mruns[[#This Row],[Card]],results0118[],4,FALSE),999)</f>
        <v>56</v>
      </c>
      <c r="R53" s="5">
        <f>VLOOKUP(U14Mruns[[#This Row],[pos1.0118]],pointstable[],2,FALSE)</f>
        <v>4</v>
      </c>
      <c r="S53" s="5">
        <f>IFERROR(VLOOKUP(U14Mruns[[#This Row],[Card]],results0118[],5,FALSE),999)</f>
        <v>999</v>
      </c>
      <c r="T53" s="5">
        <f>VLOOKUP(U14Mruns[[#This Row],[pos2.0118]],pointstable[],2,FALSE)</f>
        <v>0</v>
      </c>
      <c r="U53" s="5">
        <f>IFERROR(VLOOKUP(U14Mruns[[#This Row],[Card]],results0123[],4,FALSE),999)</f>
        <v>51</v>
      </c>
      <c r="V53" s="5">
        <f>VLOOKUP(U14Mruns[[#This Row],[pos1.0123]],pointstable[],2,FALSE)</f>
        <v>9</v>
      </c>
      <c r="W53" s="5">
        <f>IFERROR(VLOOKUP(U14Mruns[[#This Row],[Card]],results0123[],5,FALSE),999)</f>
        <v>73</v>
      </c>
      <c r="X53" s="5">
        <f>VLOOKUP(U14Mruns[[#This Row],[pos2.0123]],pointstable[],2,FALSE)</f>
        <v>0</v>
      </c>
      <c r="Y53" s="5">
        <f>IFERROR(VLOOKUP(U14Mruns[[#This Row],[Card]],results0120[],4,FALSE),999)</f>
        <v>55</v>
      </c>
      <c r="Z53" s="5">
        <f>VLOOKUP(U14Mruns[[#This Row],[pos1.0120]],pointstable[],2,FALSE)</f>
        <v>5</v>
      </c>
      <c r="AA53" s="5">
        <f>IFERROR(VLOOKUP(U14Mruns[[#This Row],[Card]],results0120[],5,FALSE),999)</f>
        <v>63</v>
      </c>
      <c r="AB53" s="5">
        <f>VLOOKUP(U14Mruns[[#This Row],[pos2.0120]],pointstable[],2,FALSE)</f>
        <v>0</v>
      </c>
    </row>
    <row r="54" spans="1:28" x14ac:dyDescent="0.25">
      <c r="A54">
        <v>82440</v>
      </c>
      <c r="B54" t="s">
        <v>56</v>
      </c>
      <c r="C54" t="s">
        <v>15</v>
      </c>
      <c r="D54">
        <v>4</v>
      </c>
      <c r="E54" s="5">
        <f>MAX(U14Mruns[[#This Row],[pts1.0119]],U14Mruns[[#This Row],[pts2.0119]],U14Mruns[[#This Row],[pts1.0118]],U14Mruns[[#This Row],[pts2.0118]],U14Mruns[[#This Row],[pts1.0120]],U14Mruns[[#This Row],[pts2.0120]])</f>
        <v>180</v>
      </c>
      <c r="F54" s="5">
        <f>MAX(U14Mruns[[#This Row],[pts1.0117]],U14Mruns[[#This Row],[pts2.0117]],U14Mruns[[#This Row],[pts0121]],U14Mruns[[#This Row],[pts1.0123]],U14Mruns[[#This Row],[pts2.0123]])</f>
        <v>31</v>
      </c>
      <c r="G54" s="5">
        <f>IFERROR(VLOOKUP(U14Mruns[[#This Row],[Card]],results0117[],4,FALSE),999)</f>
        <v>35</v>
      </c>
      <c r="H54" s="5">
        <f>VLOOKUP(U14Mruns[[#This Row],[pos1.0117]],pointstable[],2,FALSE)</f>
        <v>25</v>
      </c>
      <c r="I54" s="5">
        <f>IFERROR(VLOOKUP(U14Mruns[[#This Row],[Card]],results0117[],5,FALSE),999)</f>
        <v>42</v>
      </c>
      <c r="J54" s="5">
        <f>VLOOKUP(U14Mruns[[#This Row],[pos2.0117]],pointstable[],2,FALSE)</f>
        <v>18</v>
      </c>
      <c r="K54" s="5">
        <f>IFERROR(VLOOKUP(U14Mruns[[#This Row],[Card]],results0119[],4,FALSE),999)</f>
        <v>14</v>
      </c>
      <c r="L54" s="5">
        <f>VLOOKUP(U14Mruns[[#This Row],[pos1.0119]],pointstable[],2,FALSE)</f>
        <v>90</v>
      </c>
      <c r="M54" s="5">
        <f>IFERROR(VLOOKUP(U14Mruns[[#This Row],[Card]],results0119[],5,FALSE),999)</f>
        <v>7</v>
      </c>
      <c r="N54" s="5">
        <f>VLOOKUP(U14Mruns[[#This Row],[pos2.0119]],pointstable[],2,FALSE)</f>
        <v>180</v>
      </c>
      <c r="O54" s="5">
        <f>IFERROR(VLOOKUP(U14Mruns[[#This Row],[Card]],results0121[],3,FALSE),999)</f>
        <v>999</v>
      </c>
      <c r="P54" s="5">
        <f>VLOOKUP(U14Mruns[[#This Row],[pos0121]],pointstable[],2,FALSE)</f>
        <v>0</v>
      </c>
      <c r="Q54" s="5">
        <f>IFERROR(VLOOKUP(U14Mruns[[#This Row],[Card]],results0118[],4,FALSE),999)</f>
        <v>999</v>
      </c>
      <c r="R54" s="5">
        <f>VLOOKUP(U14Mruns[[#This Row],[pos1.0118]],pointstable[],2,FALSE)</f>
        <v>0</v>
      </c>
      <c r="S54" s="5">
        <f>IFERROR(VLOOKUP(U14Mruns[[#This Row],[Card]],results0118[],5,FALSE),999)</f>
        <v>999</v>
      </c>
      <c r="T54" s="5">
        <f>VLOOKUP(U14Mruns[[#This Row],[pos2.0118]],pointstable[],2,FALSE)</f>
        <v>0</v>
      </c>
      <c r="U54" s="5">
        <f>IFERROR(VLOOKUP(U14Mruns[[#This Row],[Card]],results0123[],4,FALSE),999)</f>
        <v>38</v>
      </c>
      <c r="V54" s="5">
        <f>VLOOKUP(U14Mruns[[#This Row],[pos1.0123]],pointstable[],2,FALSE)</f>
        <v>22</v>
      </c>
      <c r="W54" s="5">
        <f>IFERROR(VLOOKUP(U14Mruns[[#This Row],[Card]],results0123[],5,FALSE),999)</f>
        <v>29</v>
      </c>
      <c r="X54" s="5">
        <f>VLOOKUP(U14Mruns[[#This Row],[pos2.0123]],pointstable[],2,FALSE)</f>
        <v>31</v>
      </c>
      <c r="Y54" s="5">
        <f>IFERROR(VLOOKUP(U14Mruns[[#This Row],[Card]],results0120[],4,FALSE),999)</f>
        <v>9</v>
      </c>
      <c r="Z54" s="5">
        <f>VLOOKUP(U14Mruns[[#This Row],[pos1.0120]],pointstable[],2,FALSE)</f>
        <v>145</v>
      </c>
      <c r="AA54" s="5">
        <f>IFERROR(VLOOKUP(U14Mruns[[#This Row],[Card]],results0120[],5,FALSE),999)</f>
        <v>16</v>
      </c>
      <c r="AB54" s="5">
        <f>VLOOKUP(U14Mruns[[#This Row],[pos2.0120]],pointstable[],2,FALSE)</f>
        <v>75</v>
      </c>
    </row>
    <row r="55" spans="1:28" x14ac:dyDescent="0.25">
      <c r="A55">
        <v>78165</v>
      </c>
      <c r="B55" t="s">
        <v>119</v>
      </c>
      <c r="C55" t="s">
        <v>61</v>
      </c>
      <c r="D55">
        <v>4</v>
      </c>
      <c r="E55" s="5">
        <f>MAX(U14Mruns[[#This Row],[pts1.0119]],U14Mruns[[#This Row],[pts2.0119]],U14Mruns[[#This Row],[pts1.0118]],U14Mruns[[#This Row],[pts2.0118]],U14Mruns[[#This Row],[pts1.0120]],U14Mruns[[#This Row],[pts2.0120]])</f>
        <v>24</v>
      </c>
      <c r="F55" s="5">
        <f>MAX(U14Mruns[[#This Row],[pts1.0117]],U14Mruns[[#This Row],[pts2.0117]],U14Mruns[[#This Row],[pts0121]],U14Mruns[[#This Row],[pts1.0123]],U14Mruns[[#This Row],[pts2.0123]])</f>
        <v>25</v>
      </c>
      <c r="G55" s="5">
        <f>IFERROR(VLOOKUP(U14Mruns[[#This Row],[Card]],results0117[],4,FALSE),999)</f>
        <v>35</v>
      </c>
      <c r="H55" s="5">
        <f>VLOOKUP(U14Mruns[[#This Row],[pos1.0117]],pointstable[],2,FALSE)</f>
        <v>25</v>
      </c>
      <c r="I55" s="5">
        <f>IFERROR(VLOOKUP(U14Mruns[[#This Row],[Card]],results0117[],5,FALSE),999)</f>
        <v>54</v>
      </c>
      <c r="J55" s="5">
        <f>VLOOKUP(U14Mruns[[#This Row],[pos2.0117]],pointstable[],2,FALSE)</f>
        <v>6</v>
      </c>
      <c r="K55" s="5">
        <f>IFERROR(VLOOKUP(U14Mruns[[#This Row],[Card]],results0119[],4,FALSE),999)</f>
        <v>39</v>
      </c>
      <c r="L55" s="5">
        <f>VLOOKUP(U14Mruns[[#This Row],[pos1.0119]],pointstable[],2,FALSE)</f>
        <v>21</v>
      </c>
      <c r="M55" s="5">
        <f>IFERROR(VLOOKUP(U14Mruns[[#This Row],[Card]],results0119[],5,FALSE),999)</f>
        <v>57</v>
      </c>
      <c r="N55" s="5">
        <f>VLOOKUP(U14Mruns[[#This Row],[pos2.0119]],pointstable[],2,FALSE)</f>
        <v>3</v>
      </c>
      <c r="O55" s="5">
        <f>IFERROR(VLOOKUP(U14Mruns[[#This Row],[Card]],results0121[],3,FALSE),999)</f>
        <v>47</v>
      </c>
      <c r="P55" s="5">
        <f>VLOOKUP(U14Mruns[[#This Row],[pos0121]],pointstable[],2,FALSE)</f>
        <v>13</v>
      </c>
      <c r="Q55" s="5">
        <f>IFERROR(VLOOKUP(U14Mruns[[#This Row],[Card]],results0118[],4,FALSE),999)</f>
        <v>36</v>
      </c>
      <c r="R55" s="5">
        <f>VLOOKUP(U14Mruns[[#This Row],[pos1.0118]],pointstable[],2,FALSE)</f>
        <v>24</v>
      </c>
      <c r="S55" s="5">
        <f>IFERROR(VLOOKUP(U14Mruns[[#This Row],[Card]],results0118[],5,FALSE),999)</f>
        <v>44</v>
      </c>
      <c r="T55" s="5">
        <f>VLOOKUP(U14Mruns[[#This Row],[pos2.0118]],pointstable[],2,FALSE)</f>
        <v>16</v>
      </c>
      <c r="U55" s="5">
        <f>IFERROR(VLOOKUP(U14Mruns[[#This Row],[Card]],results0123[],4,FALSE),999)</f>
        <v>53</v>
      </c>
      <c r="V55" s="5">
        <f>VLOOKUP(U14Mruns[[#This Row],[pos1.0123]],pointstable[],2,FALSE)</f>
        <v>7</v>
      </c>
      <c r="W55" s="5">
        <f>IFERROR(VLOOKUP(U14Mruns[[#This Row],[Card]],results0123[],5,FALSE),999)</f>
        <v>39</v>
      </c>
      <c r="X55" s="5">
        <f>VLOOKUP(U14Mruns[[#This Row],[pos2.0123]],pointstable[],2,FALSE)</f>
        <v>21</v>
      </c>
      <c r="Y55" s="5">
        <f>IFERROR(VLOOKUP(U14Mruns[[#This Row],[Card]],results0120[],4,FALSE),999)</f>
        <v>999</v>
      </c>
      <c r="Z55" s="5">
        <f>VLOOKUP(U14Mruns[[#This Row],[pos1.0120]],pointstable[],2,FALSE)</f>
        <v>0</v>
      </c>
      <c r="AA55" s="5">
        <f>IFERROR(VLOOKUP(U14Mruns[[#This Row],[Card]],results0120[],5,FALSE),999)</f>
        <v>38</v>
      </c>
      <c r="AB55" s="5">
        <f>VLOOKUP(U14Mruns[[#This Row],[pos2.0120]],pointstable[],2,FALSE)</f>
        <v>22</v>
      </c>
    </row>
    <row r="56" spans="1:28" x14ac:dyDescent="0.25">
      <c r="A56">
        <v>80618</v>
      </c>
      <c r="B56" t="s">
        <v>123</v>
      </c>
      <c r="C56" t="s">
        <v>19</v>
      </c>
      <c r="D56">
        <v>4</v>
      </c>
      <c r="E56" s="5">
        <f>MAX(U14Mruns[[#This Row],[pts1.0119]],U14Mruns[[#This Row],[pts2.0119]],U14Mruns[[#This Row],[pts1.0118]],U14Mruns[[#This Row],[pts2.0118]],U14Mruns[[#This Row],[pts1.0120]],U14Mruns[[#This Row],[pts2.0120]])</f>
        <v>80</v>
      </c>
      <c r="F56" s="5">
        <f>MAX(U14Mruns[[#This Row],[pts1.0117]],U14Mruns[[#This Row],[pts2.0117]],U14Mruns[[#This Row],[pts0121]],U14Mruns[[#This Row],[pts1.0123]],U14Mruns[[#This Row],[pts2.0123]])</f>
        <v>27</v>
      </c>
      <c r="G56" s="5">
        <f>IFERROR(VLOOKUP(U14Mruns[[#This Row],[Card]],results0117[],4,FALSE),999)</f>
        <v>37</v>
      </c>
      <c r="H56" s="5">
        <f>VLOOKUP(U14Mruns[[#This Row],[pos1.0117]],pointstable[],2,FALSE)</f>
        <v>23</v>
      </c>
      <c r="I56" s="5">
        <f>IFERROR(VLOOKUP(U14Mruns[[#This Row],[Card]],results0117[],5,FALSE),999)</f>
        <v>999</v>
      </c>
      <c r="J56" s="5">
        <f>VLOOKUP(U14Mruns[[#This Row],[pos2.0117]],pointstable[],2,FALSE)</f>
        <v>0</v>
      </c>
      <c r="K56" s="5">
        <f>IFERROR(VLOOKUP(U14Mruns[[#This Row],[Card]],results0119[],4,FALSE),999)</f>
        <v>999</v>
      </c>
      <c r="L56" s="5">
        <f>VLOOKUP(U14Mruns[[#This Row],[pos1.0119]],pointstable[],2,FALSE)</f>
        <v>0</v>
      </c>
      <c r="M56" s="5">
        <f>IFERROR(VLOOKUP(U14Mruns[[#This Row],[Card]],results0119[],5,FALSE),999)</f>
        <v>52</v>
      </c>
      <c r="N56" s="5">
        <f>VLOOKUP(U14Mruns[[#This Row],[pos2.0119]],pointstable[],2,FALSE)</f>
        <v>8</v>
      </c>
      <c r="O56" s="5">
        <f>IFERROR(VLOOKUP(U14Mruns[[#This Row],[Card]],results0121[],3,FALSE),999)</f>
        <v>39</v>
      </c>
      <c r="P56" s="5">
        <f>VLOOKUP(U14Mruns[[#This Row],[pos0121]],pointstable[],2,FALSE)</f>
        <v>21</v>
      </c>
      <c r="Q56" s="5">
        <f>IFERROR(VLOOKUP(U14Mruns[[#This Row],[Card]],results0118[],4,FALSE),999)</f>
        <v>15</v>
      </c>
      <c r="R56" s="5">
        <f>VLOOKUP(U14Mruns[[#This Row],[pos1.0118]],pointstable[],2,FALSE)</f>
        <v>80</v>
      </c>
      <c r="S56" s="5">
        <f>IFERROR(VLOOKUP(U14Mruns[[#This Row],[Card]],results0118[],5,FALSE),999)</f>
        <v>37</v>
      </c>
      <c r="T56" s="5">
        <f>VLOOKUP(U14Mruns[[#This Row],[pos2.0118]],pointstable[],2,FALSE)</f>
        <v>23</v>
      </c>
      <c r="U56" s="5">
        <f>IFERROR(VLOOKUP(U14Mruns[[#This Row],[Card]],results0123[],4,FALSE),999)</f>
        <v>81</v>
      </c>
      <c r="V56" s="5">
        <f>VLOOKUP(U14Mruns[[#This Row],[pos1.0123]],pointstable[],2,FALSE)</f>
        <v>0</v>
      </c>
      <c r="W56" s="5">
        <f>IFERROR(VLOOKUP(U14Mruns[[#This Row],[Card]],results0123[],5,FALSE),999)</f>
        <v>33</v>
      </c>
      <c r="X56" s="5">
        <f>VLOOKUP(U14Mruns[[#This Row],[pos2.0123]],pointstable[],2,FALSE)</f>
        <v>27</v>
      </c>
      <c r="Y56" s="5">
        <f>IFERROR(VLOOKUP(U14Mruns[[#This Row],[Card]],results0120[],4,FALSE),999)</f>
        <v>999</v>
      </c>
      <c r="Z56" s="5">
        <f>VLOOKUP(U14Mruns[[#This Row],[pos1.0120]],pointstable[],2,FALSE)</f>
        <v>0</v>
      </c>
      <c r="AA56" s="5">
        <f>IFERROR(VLOOKUP(U14Mruns[[#This Row],[Card]],results0120[],5,FALSE),999)</f>
        <v>78</v>
      </c>
      <c r="AB56" s="5">
        <f>VLOOKUP(U14Mruns[[#This Row],[pos2.0120]],pointstable[],2,FALSE)</f>
        <v>0</v>
      </c>
    </row>
    <row r="57" spans="1:28" x14ac:dyDescent="0.25">
      <c r="A57">
        <v>86143</v>
      </c>
      <c r="B57" t="s">
        <v>125</v>
      </c>
      <c r="C57" t="s">
        <v>42</v>
      </c>
      <c r="D57">
        <v>4</v>
      </c>
      <c r="E57" s="5">
        <f>MAX(U14Mruns[[#This Row],[pts1.0119]],U14Mruns[[#This Row],[pts2.0119]],U14Mruns[[#This Row],[pts1.0118]],U14Mruns[[#This Row],[pts2.0118]],U14Mruns[[#This Row],[pts1.0120]],U14Mruns[[#This Row],[pts2.0120]])</f>
        <v>36</v>
      </c>
      <c r="F57" s="5">
        <f>MAX(U14Mruns[[#This Row],[pts1.0117]],U14Mruns[[#This Row],[pts2.0117]],U14Mruns[[#This Row],[pts0121]],U14Mruns[[#This Row],[pts1.0123]],U14Mruns[[#This Row],[pts2.0123]])</f>
        <v>23</v>
      </c>
      <c r="G57" s="5">
        <f>IFERROR(VLOOKUP(U14Mruns[[#This Row],[Card]],results0117[],4,FALSE),999)</f>
        <v>80</v>
      </c>
      <c r="H57" s="5">
        <f>VLOOKUP(U14Mruns[[#This Row],[pos1.0117]],pointstable[],2,FALSE)</f>
        <v>0</v>
      </c>
      <c r="I57" s="5">
        <f>IFERROR(VLOOKUP(U14Mruns[[#This Row],[Card]],results0117[],5,FALSE),999)</f>
        <v>999</v>
      </c>
      <c r="J57" s="5">
        <f>VLOOKUP(U14Mruns[[#This Row],[pos2.0117]],pointstable[],2,FALSE)</f>
        <v>0</v>
      </c>
      <c r="K57" s="5">
        <f>IFERROR(VLOOKUP(U14Mruns[[#This Row],[Card]],results0119[],4,FALSE),999)</f>
        <v>999</v>
      </c>
      <c r="L57" s="5">
        <f>VLOOKUP(U14Mruns[[#This Row],[pos1.0119]],pointstable[],2,FALSE)</f>
        <v>0</v>
      </c>
      <c r="M57" s="5">
        <f>IFERROR(VLOOKUP(U14Mruns[[#This Row],[Card]],results0119[],5,FALSE),999)</f>
        <v>26</v>
      </c>
      <c r="N57" s="5">
        <f>VLOOKUP(U14Mruns[[#This Row],[pos2.0119]],pointstable[],2,FALSE)</f>
        <v>36</v>
      </c>
      <c r="O57" s="5">
        <f>IFERROR(VLOOKUP(U14Mruns[[#This Row],[Card]],results0121[],3,FALSE),999)</f>
        <v>37</v>
      </c>
      <c r="P57" s="5">
        <f>VLOOKUP(U14Mruns[[#This Row],[pos0121]],pointstable[],2,FALSE)</f>
        <v>23</v>
      </c>
      <c r="Q57" s="5">
        <f>IFERROR(VLOOKUP(U14Mruns[[#This Row],[Card]],results0118[],4,FALSE),999)</f>
        <v>51</v>
      </c>
      <c r="R57" s="5">
        <f>VLOOKUP(U14Mruns[[#This Row],[pos1.0118]],pointstable[],2,FALSE)</f>
        <v>9</v>
      </c>
      <c r="S57" s="5">
        <f>IFERROR(VLOOKUP(U14Mruns[[#This Row],[Card]],results0118[],5,FALSE),999)</f>
        <v>47</v>
      </c>
      <c r="T57" s="5">
        <f>VLOOKUP(U14Mruns[[#This Row],[pos2.0118]],pointstable[],2,FALSE)</f>
        <v>13</v>
      </c>
      <c r="U57" s="5">
        <f>IFERROR(VLOOKUP(U14Mruns[[#This Row],[Card]],results0123[],4,FALSE),999)</f>
        <v>79</v>
      </c>
      <c r="V57" s="5">
        <f>VLOOKUP(U14Mruns[[#This Row],[pos1.0123]],pointstable[],2,FALSE)</f>
        <v>0</v>
      </c>
      <c r="W57" s="5">
        <f>IFERROR(VLOOKUP(U14Mruns[[#This Row],[Card]],results0123[],5,FALSE),999)</f>
        <v>63</v>
      </c>
      <c r="X57" s="5">
        <f>VLOOKUP(U14Mruns[[#This Row],[pos2.0123]],pointstable[],2,FALSE)</f>
        <v>0</v>
      </c>
      <c r="Y57" s="5">
        <f>IFERROR(VLOOKUP(U14Mruns[[#This Row],[Card]],results0120[],4,FALSE),999)</f>
        <v>30</v>
      </c>
      <c r="Z57" s="5">
        <f>VLOOKUP(U14Mruns[[#This Row],[pos1.0120]],pointstable[],2,FALSE)</f>
        <v>30</v>
      </c>
      <c r="AA57" s="5">
        <f>IFERROR(VLOOKUP(U14Mruns[[#This Row],[Card]],results0120[],5,FALSE),999)</f>
        <v>44</v>
      </c>
      <c r="AB57" s="5">
        <f>VLOOKUP(U14Mruns[[#This Row],[pos2.0120]],pointstable[],2,FALSE)</f>
        <v>16</v>
      </c>
    </row>
    <row r="58" spans="1:28" x14ac:dyDescent="0.25">
      <c r="A58">
        <v>78669</v>
      </c>
      <c r="B58" t="s">
        <v>116</v>
      </c>
      <c r="C58" t="s">
        <v>117</v>
      </c>
      <c r="D58">
        <v>4</v>
      </c>
      <c r="E58" s="5">
        <f>MAX(U14Mruns[[#This Row],[pts1.0119]],U14Mruns[[#This Row],[pts2.0119]],U14Mruns[[#This Row],[pts1.0118]],U14Mruns[[#This Row],[pts2.0118]],U14Mruns[[#This Row],[pts1.0120]],U14Mruns[[#This Row],[pts2.0120]])</f>
        <v>20</v>
      </c>
      <c r="F58" s="5">
        <f>MAX(U14Mruns[[#This Row],[pts1.0117]],U14Mruns[[#This Row],[pts2.0117]],U14Mruns[[#This Row],[pts0121]],U14Mruns[[#This Row],[pts1.0123]],U14Mruns[[#This Row],[pts2.0123]])</f>
        <v>22</v>
      </c>
      <c r="G58" s="5">
        <f>IFERROR(VLOOKUP(U14Mruns[[#This Row],[Card]],results0117[],4,FALSE),999)</f>
        <v>60</v>
      </c>
      <c r="H58" s="5">
        <f>VLOOKUP(U14Mruns[[#This Row],[pos1.0117]],pointstable[],2,FALSE)</f>
        <v>1</v>
      </c>
      <c r="I58" s="5">
        <f>IFERROR(VLOOKUP(U14Mruns[[#This Row],[Card]],results0117[],5,FALSE),999)</f>
        <v>80</v>
      </c>
      <c r="J58" s="5">
        <f>VLOOKUP(U14Mruns[[#This Row],[pos2.0117]],pointstable[],2,FALSE)</f>
        <v>0</v>
      </c>
      <c r="K58" s="5">
        <f>IFERROR(VLOOKUP(U14Mruns[[#This Row],[Card]],results0119[],4,FALSE),999)</f>
        <v>40</v>
      </c>
      <c r="L58" s="5">
        <f>VLOOKUP(U14Mruns[[#This Row],[pos1.0119]],pointstable[],2,FALSE)</f>
        <v>20</v>
      </c>
      <c r="M58" s="5">
        <f>IFERROR(VLOOKUP(U14Mruns[[#This Row],[Card]],results0119[],5,FALSE),999)</f>
        <v>999</v>
      </c>
      <c r="N58" s="5">
        <f>VLOOKUP(U14Mruns[[#This Row],[pos2.0119]],pointstable[],2,FALSE)</f>
        <v>0</v>
      </c>
      <c r="O58" s="5">
        <f>IFERROR(VLOOKUP(U14Mruns[[#This Row],[Card]],results0121[],3,FALSE),999)</f>
        <v>38</v>
      </c>
      <c r="P58" s="5">
        <f>VLOOKUP(U14Mruns[[#This Row],[pos0121]],pointstable[],2,FALSE)</f>
        <v>22</v>
      </c>
      <c r="Q58" s="5">
        <f>IFERROR(VLOOKUP(U14Mruns[[#This Row],[Card]],results0118[],4,FALSE),999)</f>
        <v>999</v>
      </c>
      <c r="R58" s="5">
        <f>VLOOKUP(U14Mruns[[#This Row],[pos1.0118]],pointstable[],2,FALSE)</f>
        <v>0</v>
      </c>
      <c r="S58" s="5">
        <f>IFERROR(VLOOKUP(U14Mruns[[#This Row],[Card]],results0118[],5,FALSE),999)</f>
        <v>999</v>
      </c>
      <c r="T58" s="5">
        <f>VLOOKUP(U14Mruns[[#This Row],[pos2.0118]],pointstable[],2,FALSE)</f>
        <v>0</v>
      </c>
      <c r="U58" s="5">
        <f>IFERROR(VLOOKUP(U14Mruns[[#This Row],[Card]],results0123[],4,FALSE),999)</f>
        <v>999</v>
      </c>
      <c r="V58" s="5">
        <f>VLOOKUP(U14Mruns[[#This Row],[pos1.0123]],pointstable[],2,FALSE)</f>
        <v>0</v>
      </c>
      <c r="W58" s="5">
        <f>IFERROR(VLOOKUP(U14Mruns[[#This Row],[Card]],results0123[],5,FALSE),999)</f>
        <v>999</v>
      </c>
      <c r="X58" s="5">
        <f>VLOOKUP(U14Mruns[[#This Row],[pos2.0123]],pointstable[],2,FALSE)</f>
        <v>0</v>
      </c>
      <c r="Y58" s="5">
        <f>IFERROR(VLOOKUP(U14Mruns[[#This Row],[Card]],results0120[],4,FALSE),999)</f>
        <v>999</v>
      </c>
      <c r="Z58" s="5">
        <f>VLOOKUP(U14Mruns[[#This Row],[pos1.0120]],pointstable[],2,FALSE)</f>
        <v>0</v>
      </c>
      <c r="AA58" s="5">
        <f>IFERROR(VLOOKUP(U14Mruns[[#This Row],[Card]],results0120[],5,FALSE),999)</f>
        <v>999</v>
      </c>
      <c r="AB58" s="5">
        <f>VLOOKUP(U14Mruns[[#This Row],[pos2.0120]],pointstable[],2,FALSE)</f>
        <v>0</v>
      </c>
    </row>
    <row r="59" spans="1:28" x14ac:dyDescent="0.25">
      <c r="A59">
        <v>81736</v>
      </c>
      <c r="B59" t="s">
        <v>184</v>
      </c>
      <c r="C59" t="s">
        <v>31</v>
      </c>
      <c r="D59">
        <v>4</v>
      </c>
      <c r="E59" s="5">
        <f>MAX(U14Mruns[[#This Row],[pts1.0119]],U14Mruns[[#This Row],[pts2.0119]],U14Mruns[[#This Row],[pts1.0118]],U14Mruns[[#This Row],[pts2.0118]],U14Mruns[[#This Row],[pts1.0120]],U14Mruns[[#This Row],[pts2.0120]])</f>
        <v>0</v>
      </c>
      <c r="F59" s="5">
        <f>MAX(U14Mruns[[#This Row],[pts1.0117]],U14Mruns[[#This Row],[pts2.0117]],U14Mruns[[#This Row],[pts0121]],U14Mruns[[#This Row],[pts1.0123]],U14Mruns[[#This Row],[pts2.0123]])</f>
        <v>22</v>
      </c>
      <c r="G59" s="5">
        <f>IFERROR(VLOOKUP(U14Mruns[[#This Row],[Card]],results0117[],4,FALSE),999)</f>
        <v>53</v>
      </c>
      <c r="H59" s="5">
        <f>VLOOKUP(U14Mruns[[#This Row],[pos1.0117]],pointstable[],2,FALSE)</f>
        <v>7</v>
      </c>
      <c r="I59" s="5">
        <f>IFERROR(VLOOKUP(U14Mruns[[#This Row],[Card]],results0117[],5,FALSE),999)</f>
        <v>38</v>
      </c>
      <c r="J59" s="5">
        <f>VLOOKUP(U14Mruns[[#This Row],[pos2.0117]],pointstable[],2,FALSE)</f>
        <v>22</v>
      </c>
      <c r="K59" s="5">
        <f>IFERROR(VLOOKUP(U14Mruns[[#This Row],[Card]],results0119[],4,FALSE),999)</f>
        <v>999</v>
      </c>
      <c r="L59" s="5">
        <f>VLOOKUP(U14Mruns[[#This Row],[pos1.0119]],pointstable[],2,FALSE)</f>
        <v>0</v>
      </c>
      <c r="M59" s="5">
        <f>IFERROR(VLOOKUP(U14Mruns[[#This Row],[Card]],results0119[],5,FALSE),999)</f>
        <v>86</v>
      </c>
      <c r="N59" s="5">
        <f>VLOOKUP(U14Mruns[[#This Row],[pos2.0119]],pointstable[],2,FALSE)</f>
        <v>0</v>
      </c>
      <c r="O59" s="5">
        <f>IFERROR(VLOOKUP(U14Mruns[[#This Row],[Card]],results0121[],3,FALSE),999)</f>
        <v>999</v>
      </c>
      <c r="P59" s="5">
        <f>VLOOKUP(U14Mruns[[#This Row],[pos0121]],pointstable[],2,FALSE)</f>
        <v>0</v>
      </c>
      <c r="Q59" s="5">
        <f>IFERROR(VLOOKUP(U14Mruns[[#This Row],[Card]],results0118[],4,FALSE),999)</f>
        <v>85</v>
      </c>
      <c r="R59" s="5">
        <f>VLOOKUP(U14Mruns[[#This Row],[pos1.0118]],pointstable[],2,FALSE)</f>
        <v>0</v>
      </c>
      <c r="S59" s="5">
        <f>IFERROR(VLOOKUP(U14Mruns[[#This Row],[Card]],results0118[],5,FALSE),999)</f>
        <v>81</v>
      </c>
      <c r="T59" s="5">
        <f>VLOOKUP(U14Mruns[[#This Row],[pos2.0118]],pointstable[],2,FALSE)</f>
        <v>0</v>
      </c>
      <c r="U59" s="5">
        <f>IFERROR(VLOOKUP(U14Mruns[[#This Row],[Card]],results0123[],4,FALSE),999)</f>
        <v>61</v>
      </c>
      <c r="V59" s="5">
        <f>VLOOKUP(U14Mruns[[#This Row],[pos1.0123]],pointstable[],2,FALSE)</f>
        <v>0</v>
      </c>
      <c r="W59" s="5">
        <f>IFERROR(VLOOKUP(U14Mruns[[#This Row],[Card]],results0123[],5,FALSE),999)</f>
        <v>44</v>
      </c>
      <c r="X59" s="5">
        <f>VLOOKUP(U14Mruns[[#This Row],[pos2.0123]],pointstable[],2,FALSE)</f>
        <v>16</v>
      </c>
      <c r="Y59" s="5">
        <f>IFERROR(VLOOKUP(U14Mruns[[#This Row],[Card]],results0120[],4,FALSE),999)</f>
        <v>999</v>
      </c>
      <c r="Z59" s="5">
        <f>VLOOKUP(U14Mruns[[#This Row],[pos1.0120]],pointstable[],2,FALSE)</f>
        <v>0</v>
      </c>
      <c r="AA59" s="5">
        <f>IFERROR(VLOOKUP(U14Mruns[[#This Row],[Card]],results0120[],5,FALSE),999)</f>
        <v>61</v>
      </c>
      <c r="AB59" s="5">
        <f>VLOOKUP(U14Mruns[[#This Row],[pos2.0120]],pointstable[],2,FALSE)</f>
        <v>0</v>
      </c>
    </row>
    <row r="60" spans="1:28" x14ac:dyDescent="0.25">
      <c r="A60">
        <v>78680</v>
      </c>
      <c r="B60" t="s">
        <v>127</v>
      </c>
      <c r="C60" t="s">
        <v>22</v>
      </c>
      <c r="D60">
        <v>5</v>
      </c>
      <c r="E60" s="5">
        <f>MAX(U14Mruns[[#This Row],[pts1.0119]],U14Mruns[[#This Row],[pts2.0119]],U14Mruns[[#This Row],[pts1.0118]],U14Mruns[[#This Row],[pts2.0118]],U14Mruns[[#This Row],[pts1.0120]],U14Mruns[[#This Row],[pts2.0120]])</f>
        <v>55</v>
      </c>
      <c r="F60" s="5">
        <f>MAX(U14Mruns[[#This Row],[pts1.0117]],U14Mruns[[#This Row],[pts2.0117]],U14Mruns[[#This Row],[pts0121]],U14Mruns[[#This Row],[pts1.0123]],U14Mruns[[#This Row],[pts2.0123]])</f>
        <v>23</v>
      </c>
      <c r="G60" s="5">
        <f>IFERROR(VLOOKUP(U14Mruns[[#This Row],[Card]],results0117[],4,FALSE),999)</f>
        <v>39</v>
      </c>
      <c r="H60" s="5">
        <f>VLOOKUP(U14Mruns[[#This Row],[pos1.0117]],pointstable[],2,FALSE)</f>
        <v>21</v>
      </c>
      <c r="I60" s="5">
        <f>IFERROR(VLOOKUP(U14Mruns[[#This Row],[Card]],results0117[],5,FALSE),999)</f>
        <v>66</v>
      </c>
      <c r="J60" s="5">
        <f>VLOOKUP(U14Mruns[[#This Row],[pos2.0117]],pointstable[],2,FALSE)</f>
        <v>0</v>
      </c>
      <c r="K60" s="5">
        <f>IFERROR(VLOOKUP(U14Mruns[[#This Row],[Card]],results0119[],4,FALSE),999)</f>
        <v>999</v>
      </c>
      <c r="L60" s="5">
        <f>VLOOKUP(U14Mruns[[#This Row],[pos1.0119]],pointstable[],2,FALSE)</f>
        <v>0</v>
      </c>
      <c r="M60" s="5">
        <f>IFERROR(VLOOKUP(U14Mruns[[#This Row],[Card]],results0119[],5,FALSE),999)</f>
        <v>43</v>
      </c>
      <c r="N60" s="5">
        <f>VLOOKUP(U14Mruns[[#This Row],[pos2.0119]],pointstable[],2,FALSE)</f>
        <v>17</v>
      </c>
      <c r="O60" s="5">
        <f>IFERROR(VLOOKUP(U14Mruns[[#This Row],[Card]],results0121[],3,FALSE),999)</f>
        <v>50</v>
      </c>
      <c r="P60" s="5">
        <f>VLOOKUP(U14Mruns[[#This Row],[pos0121]],pointstable[],2,FALSE)</f>
        <v>10</v>
      </c>
      <c r="Q60" s="5">
        <f>IFERROR(VLOOKUP(U14Mruns[[#This Row],[Card]],results0118[],4,FALSE),999)</f>
        <v>53</v>
      </c>
      <c r="R60" s="5">
        <f>VLOOKUP(U14Mruns[[#This Row],[pos1.0118]],pointstable[],2,FALSE)</f>
        <v>7</v>
      </c>
      <c r="S60" s="5">
        <f>IFERROR(VLOOKUP(U14Mruns[[#This Row],[Card]],results0118[],5,FALSE),999)</f>
        <v>45</v>
      </c>
      <c r="T60" s="5">
        <f>VLOOKUP(U14Mruns[[#This Row],[pos2.0118]],pointstable[],2,FALSE)</f>
        <v>15</v>
      </c>
      <c r="U60" s="5">
        <f>IFERROR(VLOOKUP(U14Mruns[[#This Row],[Card]],results0123[],4,FALSE),999)</f>
        <v>58</v>
      </c>
      <c r="V60" s="5">
        <f>VLOOKUP(U14Mruns[[#This Row],[pos1.0123]],pointstable[],2,FALSE)</f>
        <v>2</v>
      </c>
      <c r="W60" s="5">
        <f>IFERROR(VLOOKUP(U14Mruns[[#This Row],[Card]],results0123[],5,FALSE),999)</f>
        <v>37</v>
      </c>
      <c r="X60" s="5">
        <f>VLOOKUP(U14Mruns[[#This Row],[pos2.0123]],pointstable[],2,FALSE)</f>
        <v>23</v>
      </c>
      <c r="Y60" s="5">
        <f>IFERROR(VLOOKUP(U14Mruns[[#This Row],[Card]],results0120[],4,FALSE),999)</f>
        <v>60</v>
      </c>
      <c r="Z60" s="5">
        <f>VLOOKUP(U14Mruns[[#This Row],[pos1.0120]],pointstable[],2,FALSE)</f>
        <v>1</v>
      </c>
      <c r="AA60" s="5">
        <f>IFERROR(VLOOKUP(U14Mruns[[#This Row],[Card]],results0120[],5,FALSE),999)</f>
        <v>20</v>
      </c>
      <c r="AB60" s="5">
        <f>VLOOKUP(U14Mruns[[#This Row],[pos2.0120]],pointstable[],2,FALSE)</f>
        <v>55</v>
      </c>
    </row>
    <row r="61" spans="1:28" x14ac:dyDescent="0.25">
      <c r="A61">
        <v>81322</v>
      </c>
      <c r="B61" t="s">
        <v>72</v>
      </c>
      <c r="C61" t="s">
        <v>22</v>
      </c>
      <c r="D61">
        <v>4</v>
      </c>
      <c r="E61" s="5">
        <f>MAX(U14Mruns[[#This Row],[pts1.0119]],U14Mruns[[#This Row],[pts2.0119]],U14Mruns[[#This Row],[pts1.0118]],U14Mruns[[#This Row],[pts2.0118]],U14Mruns[[#This Row],[pts1.0120]],U14Mruns[[#This Row],[pts2.0120]])</f>
        <v>80</v>
      </c>
      <c r="F61" s="5">
        <f>MAX(U14Mruns[[#This Row],[pts1.0117]],U14Mruns[[#This Row],[pts2.0117]],U14Mruns[[#This Row],[pts0121]],U14Mruns[[#This Row],[pts1.0123]],U14Mruns[[#This Row],[pts2.0123]])</f>
        <v>20</v>
      </c>
      <c r="G61" s="5">
        <f>IFERROR(VLOOKUP(U14Mruns[[#This Row],[Card]],results0117[],4,FALSE),999)</f>
        <v>999</v>
      </c>
      <c r="H61" s="5">
        <f>VLOOKUP(U14Mruns[[#This Row],[pos1.0117]],pointstable[],2,FALSE)</f>
        <v>0</v>
      </c>
      <c r="I61" s="5">
        <f>IFERROR(VLOOKUP(U14Mruns[[#This Row],[Card]],results0117[],5,FALSE),999)</f>
        <v>40</v>
      </c>
      <c r="J61" s="5">
        <f>VLOOKUP(U14Mruns[[#This Row],[pos2.0117]],pointstable[],2,FALSE)</f>
        <v>20</v>
      </c>
      <c r="K61" s="5">
        <f>IFERROR(VLOOKUP(U14Mruns[[#This Row],[Card]],results0119[],4,FALSE),999)</f>
        <v>15</v>
      </c>
      <c r="L61" s="5">
        <f>VLOOKUP(U14Mruns[[#This Row],[pos1.0119]],pointstable[],2,FALSE)</f>
        <v>80</v>
      </c>
      <c r="M61" s="5">
        <f>IFERROR(VLOOKUP(U14Mruns[[#This Row],[Card]],results0119[],5,FALSE),999)</f>
        <v>24</v>
      </c>
      <c r="N61" s="5">
        <f>VLOOKUP(U14Mruns[[#This Row],[pos2.0119]],pointstable[],2,FALSE)</f>
        <v>41</v>
      </c>
      <c r="O61" s="5">
        <f>IFERROR(VLOOKUP(U14Mruns[[#This Row],[Card]],results0121[],3,FALSE),999)</f>
        <v>999</v>
      </c>
      <c r="P61" s="5">
        <f>VLOOKUP(U14Mruns[[#This Row],[pos0121]],pointstable[],2,FALSE)</f>
        <v>0</v>
      </c>
      <c r="Q61" s="5">
        <f>IFERROR(VLOOKUP(U14Mruns[[#This Row],[Card]],results0118[],4,FALSE),999)</f>
        <v>20</v>
      </c>
      <c r="R61" s="5">
        <f>VLOOKUP(U14Mruns[[#This Row],[pos1.0118]],pointstable[],2,FALSE)</f>
        <v>55</v>
      </c>
      <c r="S61" s="5">
        <f>IFERROR(VLOOKUP(U14Mruns[[#This Row],[Card]],results0118[],5,FALSE),999)</f>
        <v>999</v>
      </c>
      <c r="T61" s="5">
        <f>VLOOKUP(U14Mruns[[#This Row],[pos2.0118]],pointstable[],2,FALSE)</f>
        <v>0</v>
      </c>
      <c r="U61" s="5">
        <f>IFERROR(VLOOKUP(U14Mruns[[#This Row],[Card]],results0123[],4,FALSE),999)</f>
        <v>999</v>
      </c>
      <c r="V61" s="5">
        <f>VLOOKUP(U14Mruns[[#This Row],[pos1.0123]],pointstable[],2,FALSE)</f>
        <v>0</v>
      </c>
      <c r="W61" s="5">
        <f>IFERROR(VLOOKUP(U14Mruns[[#This Row],[Card]],results0123[],5,FALSE),999)</f>
        <v>999</v>
      </c>
      <c r="X61" s="5">
        <f>VLOOKUP(U14Mruns[[#This Row],[pos2.0123]],pointstable[],2,FALSE)</f>
        <v>0</v>
      </c>
      <c r="Y61" s="5">
        <f>IFERROR(VLOOKUP(U14Mruns[[#This Row],[Card]],results0120[],4,FALSE),999)</f>
        <v>999</v>
      </c>
      <c r="Z61" s="5">
        <f>VLOOKUP(U14Mruns[[#This Row],[pos1.0120]],pointstable[],2,FALSE)</f>
        <v>0</v>
      </c>
      <c r="AA61" s="5">
        <f>IFERROR(VLOOKUP(U14Mruns[[#This Row],[Card]],results0120[],5,FALSE),999)</f>
        <v>999</v>
      </c>
      <c r="AB61" s="5">
        <f>VLOOKUP(U14Mruns[[#This Row],[pos2.0120]],pointstable[],2,FALSE)</f>
        <v>0</v>
      </c>
    </row>
    <row r="62" spans="1:28" x14ac:dyDescent="0.25">
      <c r="A62">
        <v>77214</v>
      </c>
      <c r="B62" t="s">
        <v>154</v>
      </c>
      <c r="C62" t="s">
        <v>155</v>
      </c>
      <c r="D62">
        <v>5</v>
      </c>
      <c r="E62" s="5">
        <f>MAX(U14Mruns[[#This Row],[pts1.0119]],U14Mruns[[#This Row],[pts2.0119]],U14Mruns[[#This Row],[pts1.0118]],U14Mruns[[#This Row],[pts2.0118]],U14Mruns[[#This Row],[pts1.0120]],U14Mruns[[#This Row],[pts2.0120]])</f>
        <v>32</v>
      </c>
      <c r="F62" s="5">
        <f>MAX(U14Mruns[[#This Row],[pts1.0117]],U14Mruns[[#This Row],[pts2.0117]],U14Mruns[[#This Row],[pts0121]],U14Mruns[[#This Row],[pts1.0123]],U14Mruns[[#This Row],[pts2.0123]])</f>
        <v>20</v>
      </c>
      <c r="G62" s="5">
        <f>IFERROR(VLOOKUP(U14Mruns[[#This Row],[Card]],results0117[],4,FALSE),999)</f>
        <v>47</v>
      </c>
      <c r="H62" s="5">
        <f>VLOOKUP(U14Mruns[[#This Row],[pos1.0117]],pointstable[],2,FALSE)</f>
        <v>13</v>
      </c>
      <c r="I62" s="5">
        <f>IFERROR(VLOOKUP(U14Mruns[[#This Row],[Card]],results0117[],5,FALSE),999)</f>
        <v>64</v>
      </c>
      <c r="J62" s="5">
        <f>VLOOKUP(U14Mruns[[#This Row],[pos2.0117]],pointstable[],2,FALSE)</f>
        <v>0</v>
      </c>
      <c r="K62" s="5">
        <f>IFERROR(VLOOKUP(U14Mruns[[#This Row],[Card]],results0119[],4,FALSE),999)</f>
        <v>999</v>
      </c>
      <c r="L62" s="5">
        <f>VLOOKUP(U14Mruns[[#This Row],[pos1.0119]],pointstable[],2,FALSE)</f>
        <v>0</v>
      </c>
      <c r="M62" s="5">
        <f>IFERROR(VLOOKUP(U14Mruns[[#This Row],[Card]],results0119[],5,FALSE),999)</f>
        <v>28</v>
      </c>
      <c r="N62" s="5">
        <f>VLOOKUP(U14Mruns[[#This Row],[pos2.0119]],pointstable[],2,FALSE)</f>
        <v>32</v>
      </c>
      <c r="O62" s="5">
        <f>IFERROR(VLOOKUP(U14Mruns[[#This Row],[Card]],results0121[],3,FALSE),999)</f>
        <v>40</v>
      </c>
      <c r="P62" s="5">
        <f>VLOOKUP(U14Mruns[[#This Row],[pos0121]],pointstable[],2,FALSE)</f>
        <v>20</v>
      </c>
      <c r="Q62" s="5">
        <f>IFERROR(VLOOKUP(U14Mruns[[#This Row],[Card]],results0118[],4,FALSE),999)</f>
        <v>999</v>
      </c>
      <c r="R62" s="5">
        <f>VLOOKUP(U14Mruns[[#This Row],[pos1.0118]],pointstable[],2,FALSE)</f>
        <v>0</v>
      </c>
      <c r="S62" s="5">
        <f>IFERROR(VLOOKUP(U14Mruns[[#This Row],[Card]],results0118[],5,FALSE),999)</f>
        <v>999</v>
      </c>
      <c r="T62" s="5">
        <f>VLOOKUP(U14Mruns[[#This Row],[pos2.0118]],pointstable[],2,FALSE)</f>
        <v>0</v>
      </c>
      <c r="U62" s="5">
        <f>IFERROR(VLOOKUP(U14Mruns[[#This Row],[Card]],results0123[],4,FALSE),999)</f>
        <v>74</v>
      </c>
      <c r="V62" s="5">
        <f>VLOOKUP(U14Mruns[[#This Row],[pos1.0123]],pointstable[],2,FALSE)</f>
        <v>0</v>
      </c>
      <c r="W62" s="5">
        <f>IFERROR(VLOOKUP(U14Mruns[[#This Row],[Card]],results0123[],5,FALSE),999)</f>
        <v>57</v>
      </c>
      <c r="X62" s="5">
        <f>VLOOKUP(U14Mruns[[#This Row],[pos2.0123]],pointstable[],2,FALSE)</f>
        <v>3</v>
      </c>
      <c r="Y62" s="5">
        <f>IFERROR(VLOOKUP(U14Mruns[[#This Row],[Card]],results0120[],4,FALSE),999)</f>
        <v>999</v>
      </c>
      <c r="Z62" s="5">
        <f>VLOOKUP(U14Mruns[[#This Row],[pos1.0120]],pointstable[],2,FALSE)</f>
        <v>0</v>
      </c>
      <c r="AA62" s="5">
        <f>IFERROR(VLOOKUP(U14Mruns[[#This Row],[Card]],results0120[],5,FALSE),999)</f>
        <v>999</v>
      </c>
      <c r="AB62" s="5">
        <f>VLOOKUP(U14Mruns[[#This Row],[pos2.0120]],pointstable[],2,FALSE)</f>
        <v>0</v>
      </c>
    </row>
    <row r="63" spans="1:28" x14ac:dyDescent="0.25">
      <c r="A63">
        <v>81491</v>
      </c>
      <c r="B63" t="s">
        <v>105</v>
      </c>
      <c r="C63" t="s">
        <v>22</v>
      </c>
      <c r="D63">
        <v>5</v>
      </c>
      <c r="E63" s="5">
        <f>MAX(U14Mruns[[#This Row],[pts1.0119]],U14Mruns[[#This Row],[pts2.0119]],U14Mruns[[#This Row],[pts1.0118]],U14Mruns[[#This Row],[pts2.0118]],U14Mruns[[#This Row],[pts1.0120]],U14Mruns[[#This Row],[pts2.0120]])</f>
        <v>41</v>
      </c>
      <c r="F63" s="5">
        <f>MAX(U14Mruns[[#This Row],[pts1.0117]],U14Mruns[[#This Row],[pts2.0117]],U14Mruns[[#This Row],[pts0121]],U14Mruns[[#This Row],[pts1.0123]],U14Mruns[[#This Row],[pts2.0123]])</f>
        <v>19</v>
      </c>
      <c r="G63" s="5">
        <f>IFERROR(VLOOKUP(U14Mruns[[#This Row],[Card]],results0117[],4,FALSE),999)</f>
        <v>41</v>
      </c>
      <c r="H63" s="5">
        <f>VLOOKUP(U14Mruns[[#This Row],[pos1.0117]],pointstable[],2,FALSE)</f>
        <v>19</v>
      </c>
      <c r="I63" s="5">
        <f>IFERROR(VLOOKUP(U14Mruns[[#This Row],[Card]],results0117[],5,FALSE),999)</f>
        <v>41</v>
      </c>
      <c r="J63" s="5">
        <f>VLOOKUP(U14Mruns[[#This Row],[pos2.0117]],pointstable[],2,FALSE)</f>
        <v>19</v>
      </c>
      <c r="K63" s="5">
        <f>IFERROR(VLOOKUP(U14Mruns[[#This Row],[Card]],results0119[],4,FALSE),999)</f>
        <v>24</v>
      </c>
      <c r="L63" s="5">
        <f>VLOOKUP(U14Mruns[[#This Row],[pos1.0119]],pointstable[],2,FALSE)</f>
        <v>41</v>
      </c>
      <c r="M63" s="5">
        <f>IFERROR(VLOOKUP(U14Mruns[[#This Row],[Card]],results0119[],5,FALSE),999)</f>
        <v>44</v>
      </c>
      <c r="N63" s="5">
        <f>VLOOKUP(U14Mruns[[#This Row],[pos2.0119]],pointstable[],2,FALSE)</f>
        <v>16</v>
      </c>
      <c r="O63" s="5">
        <f>IFERROR(VLOOKUP(U14Mruns[[#This Row],[Card]],results0121[],3,FALSE),999)</f>
        <v>51</v>
      </c>
      <c r="P63" s="5">
        <f>VLOOKUP(U14Mruns[[#This Row],[pos0121]],pointstable[],2,FALSE)</f>
        <v>9</v>
      </c>
      <c r="Q63" s="5">
        <f>IFERROR(VLOOKUP(U14Mruns[[#This Row],[Card]],results0118[],4,FALSE),999)</f>
        <v>35</v>
      </c>
      <c r="R63" s="5">
        <f>VLOOKUP(U14Mruns[[#This Row],[pos1.0118]],pointstable[],2,FALSE)</f>
        <v>25</v>
      </c>
      <c r="S63" s="5">
        <f>IFERROR(VLOOKUP(U14Mruns[[#This Row],[Card]],results0118[],5,FALSE),999)</f>
        <v>34</v>
      </c>
      <c r="T63" s="5">
        <f>VLOOKUP(U14Mruns[[#This Row],[pos2.0118]],pointstable[],2,FALSE)</f>
        <v>26</v>
      </c>
      <c r="U63" s="5">
        <f>IFERROR(VLOOKUP(U14Mruns[[#This Row],[Card]],results0123[],4,FALSE),999)</f>
        <v>70</v>
      </c>
      <c r="V63" s="5">
        <f>VLOOKUP(U14Mruns[[#This Row],[pos1.0123]],pointstable[],2,FALSE)</f>
        <v>0</v>
      </c>
      <c r="W63" s="5">
        <f>IFERROR(VLOOKUP(U14Mruns[[#This Row],[Card]],results0123[],5,FALSE),999)</f>
        <v>62</v>
      </c>
      <c r="X63" s="5">
        <f>VLOOKUP(U14Mruns[[#This Row],[pos2.0123]],pointstable[],2,FALSE)</f>
        <v>0</v>
      </c>
      <c r="Y63" s="5">
        <f>IFERROR(VLOOKUP(U14Mruns[[#This Row],[Card]],results0120[],4,FALSE),999)</f>
        <v>68</v>
      </c>
      <c r="Z63" s="5">
        <f>VLOOKUP(U14Mruns[[#This Row],[pos1.0120]],pointstable[],2,FALSE)</f>
        <v>0</v>
      </c>
      <c r="AA63" s="5">
        <f>IFERROR(VLOOKUP(U14Mruns[[#This Row],[Card]],results0120[],5,FALSE),999)</f>
        <v>26</v>
      </c>
      <c r="AB63" s="5">
        <f>VLOOKUP(U14Mruns[[#This Row],[pos2.0120]],pointstable[],2,FALSE)</f>
        <v>36</v>
      </c>
    </row>
    <row r="64" spans="1:28" x14ac:dyDescent="0.25">
      <c r="A64">
        <v>78164</v>
      </c>
      <c r="B64" t="s">
        <v>129</v>
      </c>
      <c r="C64" t="s">
        <v>61</v>
      </c>
      <c r="D64">
        <v>5</v>
      </c>
      <c r="E64" s="5">
        <f>MAX(U14Mruns[[#This Row],[pts1.0119]],U14Mruns[[#This Row],[pts2.0119]],U14Mruns[[#This Row],[pts1.0118]],U14Mruns[[#This Row],[pts2.0118]],U14Mruns[[#This Row],[pts1.0120]],U14Mruns[[#This Row],[pts2.0120]])</f>
        <v>65</v>
      </c>
      <c r="F64" s="5">
        <f>MAX(U14Mruns[[#This Row],[pts1.0117]],U14Mruns[[#This Row],[pts2.0117]],U14Mruns[[#This Row],[pts0121]],U14Mruns[[#This Row],[pts1.0123]],U14Mruns[[#This Row],[pts2.0123]])</f>
        <v>19</v>
      </c>
      <c r="G64" s="5">
        <f>IFERROR(VLOOKUP(U14Mruns[[#This Row],[Card]],results0117[],4,FALSE),999)</f>
        <v>58</v>
      </c>
      <c r="H64" s="5">
        <f>VLOOKUP(U14Mruns[[#This Row],[pos1.0117]],pointstable[],2,FALSE)</f>
        <v>2</v>
      </c>
      <c r="I64" s="5">
        <f>IFERROR(VLOOKUP(U14Mruns[[#This Row],[Card]],results0117[],5,FALSE),999)</f>
        <v>70</v>
      </c>
      <c r="J64" s="5">
        <f>VLOOKUP(U14Mruns[[#This Row],[pos2.0117]],pointstable[],2,FALSE)</f>
        <v>0</v>
      </c>
      <c r="K64" s="5">
        <f>IFERROR(VLOOKUP(U14Mruns[[#This Row],[Card]],results0119[],4,FALSE),999)</f>
        <v>31</v>
      </c>
      <c r="L64" s="5">
        <f>VLOOKUP(U14Mruns[[#This Row],[pos1.0119]],pointstable[],2,FALSE)</f>
        <v>29</v>
      </c>
      <c r="M64" s="5">
        <f>IFERROR(VLOOKUP(U14Mruns[[#This Row],[Card]],results0119[],5,FALSE),999)</f>
        <v>47</v>
      </c>
      <c r="N64" s="5">
        <f>VLOOKUP(U14Mruns[[#This Row],[pos2.0119]],pointstable[],2,FALSE)</f>
        <v>13</v>
      </c>
      <c r="O64" s="5">
        <f>IFERROR(VLOOKUP(U14Mruns[[#This Row],[Card]],results0121[],3,FALSE),999)</f>
        <v>41</v>
      </c>
      <c r="P64" s="5">
        <f>VLOOKUP(U14Mruns[[#This Row],[pos0121]],pointstable[],2,FALSE)</f>
        <v>19</v>
      </c>
      <c r="Q64" s="5">
        <f>IFERROR(VLOOKUP(U14Mruns[[#This Row],[Card]],results0118[],4,FALSE),999)</f>
        <v>42</v>
      </c>
      <c r="R64" s="5">
        <f>VLOOKUP(U14Mruns[[#This Row],[pos1.0118]],pointstable[],2,FALSE)</f>
        <v>18</v>
      </c>
      <c r="S64" s="5">
        <f>IFERROR(VLOOKUP(U14Mruns[[#This Row],[Card]],results0118[],5,FALSE),999)</f>
        <v>38</v>
      </c>
      <c r="T64" s="5">
        <f>VLOOKUP(U14Mruns[[#This Row],[pos2.0118]],pointstable[],2,FALSE)</f>
        <v>22</v>
      </c>
      <c r="U64" s="5">
        <f>IFERROR(VLOOKUP(U14Mruns[[#This Row],[Card]],results0123[],4,FALSE),999)</f>
        <v>48</v>
      </c>
      <c r="V64" s="5">
        <f>VLOOKUP(U14Mruns[[#This Row],[pos1.0123]],pointstable[],2,FALSE)</f>
        <v>12</v>
      </c>
      <c r="W64" s="5">
        <f>IFERROR(VLOOKUP(U14Mruns[[#This Row],[Card]],results0123[],5,FALSE),999)</f>
        <v>49</v>
      </c>
      <c r="X64" s="5">
        <f>VLOOKUP(U14Mruns[[#This Row],[pos2.0123]],pointstable[],2,FALSE)</f>
        <v>11</v>
      </c>
      <c r="Y64" s="5">
        <f>IFERROR(VLOOKUP(U14Mruns[[#This Row],[Card]],results0120[],4,FALSE),999)</f>
        <v>24</v>
      </c>
      <c r="Z64" s="5">
        <f>VLOOKUP(U14Mruns[[#This Row],[pos1.0120]],pointstable[],2,FALSE)</f>
        <v>41</v>
      </c>
      <c r="AA64" s="5">
        <f>IFERROR(VLOOKUP(U14Mruns[[#This Row],[Card]],results0120[],5,FALSE),999)</f>
        <v>18</v>
      </c>
      <c r="AB64" s="5">
        <f>VLOOKUP(U14Mruns[[#This Row],[pos2.0120]],pointstable[],2,FALSE)</f>
        <v>65</v>
      </c>
    </row>
    <row r="65" spans="1:28" x14ac:dyDescent="0.25">
      <c r="A65">
        <v>80629</v>
      </c>
      <c r="B65" t="s">
        <v>144</v>
      </c>
      <c r="C65" t="s">
        <v>19</v>
      </c>
      <c r="D65">
        <v>5</v>
      </c>
      <c r="E65" s="5">
        <f>MAX(U14Mruns[[#This Row],[pts1.0119]],U14Mruns[[#This Row],[pts2.0119]],U14Mruns[[#This Row],[pts1.0118]],U14Mruns[[#This Row],[pts2.0118]],U14Mruns[[#This Row],[pts1.0120]],U14Mruns[[#This Row],[pts2.0120]])</f>
        <v>30</v>
      </c>
      <c r="F65" s="5">
        <f>MAX(U14Mruns[[#This Row],[pts1.0117]],U14Mruns[[#This Row],[pts2.0117]],U14Mruns[[#This Row],[pts0121]],U14Mruns[[#This Row],[pts1.0123]],U14Mruns[[#This Row],[pts2.0123]])</f>
        <v>20</v>
      </c>
      <c r="G65" s="5">
        <f>IFERROR(VLOOKUP(U14Mruns[[#This Row],[Card]],results0117[],4,FALSE),999)</f>
        <v>68</v>
      </c>
      <c r="H65" s="5">
        <f>VLOOKUP(U14Mruns[[#This Row],[pos1.0117]],pointstable[],2,FALSE)</f>
        <v>0</v>
      </c>
      <c r="I65" s="5">
        <f>IFERROR(VLOOKUP(U14Mruns[[#This Row],[Card]],results0117[],5,FALSE),999)</f>
        <v>47</v>
      </c>
      <c r="J65" s="5">
        <f>VLOOKUP(U14Mruns[[#This Row],[pos2.0117]],pointstable[],2,FALSE)</f>
        <v>13</v>
      </c>
      <c r="K65" s="5">
        <f>IFERROR(VLOOKUP(U14Mruns[[#This Row],[Card]],results0119[],4,FALSE),999)</f>
        <v>34</v>
      </c>
      <c r="L65" s="5">
        <f>VLOOKUP(U14Mruns[[#This Row],[pos1.0119]],pointstable[],2,FALSE)</f>
        <v>26</v>
      </c>
      <c r="M65" s="5">
        <f>IFERROR(VLOOKUP(U14Mruns[[#This Row],[Card]],results0119[],5,FALSE),999)</f>
        <v>41</v>
      </c>
      <c r="N65" s="5">
        <f>VLOOKUP(U14Mruns[[#This Row],[pos2.0119]],pointstable[],2,FALSE)</f>
        <v>19</v>
      </c>
      <c r="O65" s="5">
        <f>IFERROR(VLOOKUP(U14Mruns[[#This Row],[Card]],results0121[],3,FALSE),999)</f>
        <v>42</v>
      </c>
      <c r="P65" s="5">
        <f>VLOOKUP(U14Mruns[[#This Row],[pos0121]],pointstable[],2,FALSE)</f>
        <v>18</v>
      </c>
      <c r="Q65" s="5">
        <f>IFERROR(VLOOKUP(U14Mruns[[#This Row],[Card]],results0118[],4,FALSE),999)</f>
        <v>30</v>
      </c>
      <c r="R65" s="5">
        <f>VLOOKUP(U14Mruns[[#This Row],[pos1.0118]],pointstable[],2,FALSE)</f>
        <v>30</v>
      </c>
      <c r="S65" s="5">
        <f>IFERROR(VLOOKUP(U14Mruns[[#This Row],[Card]],results0118[],5,FALSE),999)</f>
        <v>94</v>
      </c>
      <c r="T65" s="5">
        <f>VLOOKUP(U14Mruns[[#This Row],[pos2.0118]],pointstable[],2,FALSE)</f>
        <v>0</v>
      </c>
      <c r="U65" s="5">
        <f>IFERROR(VLOOKUP(U14Mruns[[#This Row],[Card]],results0123[],4,FALSE),999)</f>
        <v>52</v>
      </c>
      <c r="V65" s="5">
        <f>VLOOKUP(U14Mruns[[#This Row],[pos1.0123]],pointstable[],2,FALSE)</f>
        <v>8</v>
      </c>
      <c r="W65" s="5">
        <f>IFERROR(VLOOKUP(U14Mruns[[#This Row],[Card]],results0123[],5,FALSE),999)</f>
        <v>40</v>
      </c>
      <c r="X65" s="5">
        <f>VLOOKUP(U14Mruns[[#This Row],[pos2.0123]],pointstable[],2,FALSE)</f>
        <v>20</v>
      </c>
      <c r="Y65" s="5">
        <f>IFERROR(VLOOKUP(U14Mruns[[#This Row],[Card]],results0120[],4,FALSE),999)</f>
        <v>35</v>
      </c>
      <c r="Z65" s="5">
        <f>VLOOKUP(U14Mruns[[#This Row],[pos1.0120]],pointstable[],2,FALSE)</f>
        <v>25</v>
      </c>
      <c r="AA65" s="5">
        <f>IFERROR(VLOOKUP(U14Mruns[[#This Row],[Card]],results0120[],5,FALSE),999)</f>
        <v>73</v>
      </c>
      <c r="AB65" s="5">
        <f>VLOOKUP(U14Mruns[[#This Row],[pos2.0120]],pointstable[],2,FALSE)</f>
        <v>0</v>
      </c>
    </row>
    <row r="66" spans="1:28" x14ac:dyDescent="0.25">
      <c r="A66">
        <v>80714</v>
      </c>
      <c r="B66" t="s">
        <v>152</v>
      </c>
      <c r="C66" t="s">
        <v>22</v>
      </c>
      <c r="D66">
        <v>5</v>
      </c>
      <c r="E66" s="5">
        <f>MAX(U14Mruns[[#This Row],[pts1.0119]],U14Mruns[[#This Row],[pts2.0119]],U14Mruns[[#This Row],[pts1.0118]],U14Mruns[[#This Row],[pts2.0118]],U14Mruns[[#This Row],[pts1.0120]],U14Mruns[[#This Row],[pts2.0120]])</f>
        <v>24</v>
      </c>
      <c r="F66" s="5">
        <f>MAX(U14Mruns[[#This Row],[pts1.0117]],U14Mruns[[#This Row],[pts2.0117]],U14Mruns[[#This Row],[pts0121]],U14Mruns[[#This Row],[pts1.0123]],U14Mruns[[#This Row],[pts2.0123]])</f>
        <v>18</v>
      </c>
      <c r="G66" s="5">
        <f>IFERROR(VLOOKUP(U14Mruns[[#This Row],[Card]],results0117[],4,FALSE),999)</f>
        <v>42</v>
      </c>
      <c r="H66" s="5">
        <f>VLOOKUP(U14Mruns[[#This Row],[pos1.0117]],pointstable[],2,FALSE)</f>
        <v>18</v>
      </c>
      <c r="I66" s="5">
        <f>IFERROR(VLOOKUP(U14Mruns[[#This Row],[Card]],results0117[],5,FALSE),999)</f>
        <v>43</v>
      </c>
      <c r="J66" s="5">
        <f>VLOOKUP(U14Mruns[[#This Row],[pos2.0117]],pointstable[],2,FALSE)</f>
        <v>17</v>
      </c>
      <c r="K66" s="5">
        <f>IFERROR(VLOOKUP(U14Mruns[[#This Row],[Card]],results0119[],4,FALSE),999)</f>
        <v>38</v>
      </c>
      <c r="L66" s="5">
        <f>VLOOKUP(U14Mruns[[#This Row],[pos1.0119]],pointstable[],2,FALSE)</f>
        <v>22</v>
      </c>
      <c r="M66" s="5">
        <f>IFERROR(VLOOKUP(U14Mruns[[#This Row],[Card]],results0119[],5,FALSE),999)</f>
        <v>61</v>
      </c>
      <c r="N66" s="5">
        <f>VLOOKUP(U14Mruns[[#This Row],[pos2.0119]],pointstable[],2,FALSE)</f>
        <v>0</v>
      </c>
      <c r="O66" s="5">
        <f>IFERROR(VLOOKUP(U14Mruns[[#This Row],[Card]],results0121[],3,FALSE),999)</f>
        <v>49</v>
      </c>
      <c r="P66" s="5">
        <f>VLOOKUP(U14Mruns[[#This Row],[pos0121]],pointstable[],2,FALSE)</f>
        <v>11</v>
      </c>
      <c r="Q66" s="5">
        <f>IFERROR(VLOOKUP(U14Mruns[[#This Row],[Card]],results0118[],4,FALSE),999)</f>
        <v>71</v>
      </c>
      <c r="R66" s="5">
        <f>VLOOKUP(U14Mruns[[#This Row],[pos1.0118]],pointstable[],2,FALSE)</f>
        <v>0</v>
      </c>
      <c r="S66" s="5">
        <f>IFERROR(VLOOKUP(U14Mruns[[#This Row],[Card]],results0118[],5,FALSE),999)</f>
        <v>49</v>
      </c>
      <c r="T66" s="5">
        <f>VLOOKUP(U14Mruns[[#This Row],[pos2.0118]],pointstable[],2,FALSE)</f>
        <v>11</v>
      </c>
      <c r="U66" s="5">
        <f>IFERROR(VLOOKUP(U14Mruns[[#This Row],[Card]],results0123[],4,FALSE),999)</f>
        <v>56</v>
      </c>
      <c r="V66" s="5">
        <f>VLOOKUP(U14Mruns[[#This Row],[pos1.0123]],pointstable[],2,FALSE)</f>
        <v>4</v>
      </c>
      <c r="W66" s="5">
        <f>IFERROR(VLOOKUP(U14Mruns[[#This Row],[Card]],results0123[],5,FALSE),999)</f>
        <v>64</v>
      </c>
      <c r="X66" s="5">
        <f>VLOOKUP(U14Mruns[[#This Row],[pos2.0123]],pointstable[],2,FALSE)</f>
        <v>0</v>
      </c>
      <c r="Y66" s="5">
        <f>IFERROR(VLOOKUP(U14Mruns[[#This Row],[Card]],results0120[],4,FALSE),999)</f>
        <v>36</v>
      </c>
      <c r="Z66" s="5">
        <f>VLOOKUP(U14Mruns[[#This Row],[pos1.0120]],pointstable[],2,FALSE)</f>
        <v>24</v>
      </c>
      <c r="AA66" s="5">
        <f>IFERROR(VLOOKUP(U14Mruns[[#This Row],[Card]],results0120[],5,FALSE),999)</f>
        <v>999</v>
      </c>
      <c r="AB66" s="5">
        <f>VLOOKUP(U14Mruns[[#This Row],[pos2.0120]],pointstable[],2,FALSE)</f>
        <v>0</v>
      </c>
    </row>
    <row r="67" spans="1:28" x14ac:dyDescent="0.25">
      <c r="A67">
        <v>76864</v>
      </c>
      <c r="B67" t="s">
        <v>107</v>
      </c>
      <c r="C67" t="s">
        <v>38</v>
      </c>
      <c r="D67">
        <v>4</v>
      </c>
      <c r="E67" s="5">
        <f>MAX(U14Mruns[[#This Row],[pts1.0119]],U14Mruns[[#This Row],[pts2.0119]],U14Mruns[[#This Row],[pts1.0118]],U14Mruns[[#This Row],[pts2.0118]],U14Mruns[[#This Row],[pts1.0120]],U14Mruns[[#This Row],[pts2.0120]])</f>
        <v>26</v>
      </c>
      <c r="F67" s="5">
        <f>MAX(U14Mruns[[#This Row],[pts1.0117]],U14Mruns[[#This Row],[pts2.0117]],U14Mruns[[#This Row],[pts0121]],U14Mruns[[#This Row],[pts1.0123]],U14Mruns[[#This Row],[pts2.0123]])</f>
        <v>17</v>
      </c>
      <c r="G67" s="5">
        <f>IFERROR(VLOOKUP(U14Mruns[[#This Row],[Card]],results0117[],4,FALSE),999)</f>
        <v>66</v>
      </c>
      <c r="H67" s="5">
        <f>VLOOKUP(U14Mruns[[#This Row],[pos1.0117]],pointstable[],2,FALSE)</f>
        <v>0</v>
      </c>
      <c r="I67" s="5">
        <f>IFERROR(VLOOKUP(U14Mruns[[#This Row],[Card]],results0117[],5,FALSE),999)</f>
        <v>56</v>
      </c>
      <c r="J67" s="5">
        <f>VLOOKUP(U14Mruns[[#This Row],[pos2.0117]],pointstable[],2,FALSE)</f>
        <v>4</v>
      </c>
      <c r="K67" s="5">
        <f>IFERROR(VLOOKUP(U14Mruns[[#This Row],[Card]],results0119[],4,FALSE),999)</f>
        <v>52</v>
      </c>
      <c r="L67" s="5">
        <f>VLOOKUP(U14Mruns[[#This Row],[pos1.0119]],pointstable[],2,FALSE)</f>
        <v>8</v>
      </c>
      <c r="M67" s="5">
        <f>IFERROR(VLOOKUP(U14Mruns[[#This Row],[Card]],results0119[],5,FALSE),999)</f>
        <v>66</v>
      </c>
      <c r="N67" s="5">
        <f>VLOOKUP(U14Mruns[[#This Row],[pos2.0119]],pointstable[],2,FALSE)</f>
        <v>0</v>
      </c>
      <c r="O67" s="5">
        <f>IFERROR(VLOOKUP(U14Mruns[[#This Row],[Card]],results0121[],3,FALSE),999)</f>
        <v>43</v>
      </c>
      <c r="P67" s="5">
        <f>VLOOKUP(U14Mruns[[#This Row],[pos0121]],pointstable[],2,FALSE)</f>
        <v>17</v>
      </c>
      <c r="Q67" s="5">
        <f>IFERROR(VLOOKUP(U14Mruns[[#This Row],[Card]],results0118[],4,FALSE),999)</f>
        <v>41</v>
      </c>
      <c r="R67" s="5">
        <f>VLOOKUP(U14Mruns[[#This Row],[pos1.0118]],pointstable[],2,FALSE)</f>
        <v>19</v>
      </c>
      <c r="S67" s="5">
        <f>IFERROR(VLOOKUP(U14Mruns[[#This Row],[Card]],results0118[],5,FALSE),999)</f>
        <v>999</v>
      </c>
      <c r="T67" s="5">
        <f>VLOOKUP(U14Mruns[[#This Row],[pos2.0118]],pointstable[],2,FALSE)</f>
        <v>0</v>
      </c>
      <c r="U67" s="5">
        <f>IFERROR(VLOOKUP(U14Mruns[[#This Row],[Card]],results0123[],4,FALSE),999)</f>
        <v>71</v>
      </c>
      <c r="V67" s="5">
        <f>VLOOKUP(U14Mruns[[#This Row],[pos1.0123]],pointstable[],2,FALSE)</f>
        <v>0</v>
      </c>
      <c r="W67" s="5">
        <f>IFERROR(VLOOKUP(U14Mruns[[#This Row],[Card]],results0123[],5,FALSE),999)</f>
        <v>52</v>
      </c>
      <c r="X67" s="5">
        <f>VLOOKUP(U14Mruns[[#This Row],[pos2.0123]],pointstable[],2,FALSE)</f>
        <v>8</v>
      </c>
      <c r="Y67" s="5">
        <f>IFERROR(VLOOKUP(U14Mruns[[#This Row],[Card]],results0120[],4,FALSE),999)</f>
        <v>999</v>
      </c>
      <c r="Z67" s="5">
        <f>VLOOKUP(U14Mruns[[#This Row],[pos1.0120]],pointstable[],2,FALSE)</f>
        <v>0</v>
      </c>
      <c r="AA67" s="5">
        <f>IFERROR(VLOOKUP(U14Mruns[[#This Row],[Card]],results0120[],5,FALSE),999)</f>
        <v>34</v>
      </c>
      <c r="AB67" s="5">
        <f>VLOOKUP(U14Mruns[[#This Row],[pos2.0120]],pointstable[],2,FALSE)</f>
        <v>26</v>
      </c>
    </row>
    <row r="68" spans="1:28" x14ac:dyDescent="0.25">
      <c r="A68">
        <v>84692</v>
      </c>
      <c r="B68" t="s">
        <v>173</v>
      </c>
      <c r="C68" t="s">
        <v>22</v>
      </c>
      <c r="D68">
        <v>4</v>
      </c>
      <c r="E68" s="5">
        <f>MAX(U14Mruns[[#This Row],[pts1.0119]],U14Mruns[[#This Row],[pts2.0119]],U14Mruns[[#This Row],[pts1.0118]],U14Mruns[[#This Row],[pts2.0118]],U14Mruns[[#This Row],[pts1.0120]],U14Mruns[[#This Row],[pts2.0120]])</f>
        <v>1</v>
      </c>
      <c r="F68" s="5">
        <f>MAX(U14Mruns[[#This Row],[pts1.0117]],U14Mruns[[#This Row],[pts2.0117]],U14Mruns[[#This Row],[pts0121]],U14Mruns[[#This Row],[pts1.0123]],U14Mruns[[#This Row],[pts2.0123]])</f>
        <v>17</v>
      </c>
      <c r="G68" s="5">
        <f>IFERROR(VLOOKUP(U14Mruns[[#This Row],[Card]],results0117[],4,FALSE),999)</f>
        <v>43</v>
      </c>
      <c r="H68" s="5">
        <f>VLOOKUP(U14Mruns[[#This Row],[pos1.0117]],pointstable[],2,FALSE)</f>
        <v>17</v>
      </c>
      <c r="I68" s="5">
        <f>IFERROR(VLOOKUP(U14Mruns[[#This Row],[Card]],results0117[],5,FALSE),999)</f>
        <v>999</v>
      </c>
      <c r="J68" s="5">
        <f>VLOOKUP(U14Mruns[[#This Row],[pos2.0117]],pointstable[],2,FALSE)</f>
        <v>0</v>
      </c>
      <c r="K68" s="5">
        <f>IFERROR(VLOOKUP(U14Mruns[[#This Row],[Card]],results0119[],4,FALSE),999)</f>
        <v>59</v>
      </c>
      <c r="L68" s="5">
        <f>VLOOKUP(U14Mruns[[#This Row],[pos1.0119]],pointstable[],2,FALSE)</f>
        <v>1</v>
      </c>
      <c r="M68" s="5">
        <f>IFERROR(VLOOKUP(U14Mruns[[#This Row],[Card]],results0119[],5,FALSE),999)</f>
        <v>999</v>
      </c>
      <c r="N68" s="5">
        <f>VLOOKUP(U14Mruns[[#This Row],[pos2.0119]],pointstable[],2,FALSE)</f>
        <v>0</v>
      </c>
      <c r="O68" s="5">
        <f>IFERROR(VLOOKUP(U14Mruns[[#This Row],[Card]],results0121[],3,FALSE),999)</f>
        <v>67</v>
      </c>
      <c r="P68" s="5">
        <f>VLOOKUP(U14Mruns[[#This Row],[pos0121]],pointstable[],2,FALSE)</f>
        <v>0</v>
      </c>
      <c r="Q68" s="5">
        <f>IFERROR(VLOOKUP(U14Mruns[[#This Row],[Card]],results0118[],4,FALSE),999)</f>
        <v>91</v>
      </c>
      <c r="R68" s="5">
        <f>VLOOKUP(U14Mruns[[#This Row],[pos1.0118]],pointstable[],2,FALSE)</f>
        <v>0</v>
      </c>
      <c r="S68" s="5">
        <f>IFERROR(VLOOKUP(U14Mruns[[#This Row],[Card]],results0118[],5,FALSE),999)</f>
        <v>82</v>
      </c>
      <c r="T68" s="5">
        <f>VLOOKUP(U14Mruns[[#This Row],[pos2.0118]],pointstable[],2,FALSE)</f>
        <v>0</v>
      </c>
      <c r="U68" s="5">
        <f>IFERROR(VLOOKUP(U14Mruns[[#This Row],[Card]],results0123[],4,FALSE),999)</f>
        <v>82</v>
      </c>
      <c r="V68" s="5">
        <f>VLOOKUP(U14Mruns[[#This Row],[pos1.0123]],pointstable[],2,FALSE)</f>
        <v>0</v>
      </c>
      <c r="W68" s="5">
        <f>IFERROR(VLOOKUP(U14Mruns[[#This Row],[Card]],results0123[],5,FALSE),999)</f>
        <v>74</v>
      </c>
      <c r="X68" s="5">
        <f>VLOOKUP(U14Mruns[[#This Row],[pos2.0123]],pointstable[],2,FALSE)</f>
        <v>0</v>
      </c>
      <c r="Y68" s="5">
        <f>IFERROR(VLOOKUP(U14Mruns[[#This Row],[Card]],results0120[],4,FALSE),999)</f>
        <v>63</v>
      </c>
      <c r="Z68" s="5">
        <f>VLOOKUP(U14Mruns[[#This Row],[pos1.0120]],pointstable[],2,FALSE)</f>
        <v>0</v>
      </c>
      <c r="AA68" s="5">
        <f>IFERROR(VLOOKUP(U14Mruns[[#This Row],[Card]],results0120[],5,FALSE),999)</f>
        <v>999</v>
      </c>
      <c r="AB68" s="5">
        <f>VLOOKUP(U14Mruns[[#This Row],[pos2.0120]],pointstable[],2,FALSE)</f>
        <v>0</v>
      </c>
    </row>
    <row r="69" spans="1:28" x14ac:dyDescent="0.25">
      <c r="A69">
        <v>78619</v>
      </c>
      <c r="B69" t="s">
        <v>121</v>
      </c>
      <c r="C69" t="s">
        <v>61</v>
      </c>
      <c r="D69">
        <v>4</v>
      </c>
      <c r="E69" s="5">
        <f>MAX(U14Mruns[[#This Row],[pts1.0119]],U14Mruns[[#This Row],[pts2.0119]],U14Mruns[[#This Row],[pts1.0118]],U14Mruns[[#This Row],[pts2.0118]],U14Mruns[[#This Row],[pts1.0120]],U14Mruns[[#This Row],[pts2.0120]])</f>
        <v>29</v>
      </c>
      <c r="F69" s="5">
        <f>MAX(U14Mruns[[#This Row],[pts1.0117]],U14Mruns[[#This Row],[pts2.0117]],U14Mruns[[#This Row],[pts0121]],U14Mruns[[#This Row],[pts1.0123]],U14Mruns[[#This Row],[pts2.0123]])</f>
        <v>16</v>
      </c>
      <c r="G69" s="5">
        <f>IFERROR(VLOOKUP(U14Mruns[[#This Row],[Card]],results0117[],4,FALSE),999)</f>
        <v>999</v>
      </c>
      <c r="H69" s="5">
        <f>VLOOKUP(U14Mruns[[#This Row],[pos1.0117]],pointstable[],2,FALSE)</f>
        <v>0</v>
      </c>
      <c r="I69" s="5">
        <f>IFERROR(VLOOKUP(U14Mruns[[#This Row],[Card]],results0117[],5,FALSE),999)</f>
        <v>44</v>
      </c>
      <c r="J69" s="5">
        <f>VLOOKUP(U14Mruns[[#This Row],[pos2.0117]],pointstable[],2,FALSE)</f>
        <v>16</v>
      </c>
      <c r="K69" s="5">
        <f>IFERROR(VLOOKUP(U14Mruns[[#This Row],[Card]],results0119[],4,FALSE),999)</f>
        <v>31</v>
      </c>
      <c r="L69" s="5">
        <f>VLOOKUP(U14Mruns[[#This Row],[pos1.0119]],pointstable[],2,FALSE)</f>
        <v>29</v>
      </c>
      <c r="M69" s="5">
        <f>IFERROR(VLOOKUP(U14Mruns[[#This Row],[Card]],results0119[],5,FALSE),999)</f>
        <v>999</v>
      </c>
      <c r="N69" s="5">
        <f>VLOOKUP(U14Mruns[[#This Row],[pos2.0119]],pointstable[],2,FALSE)</f>
        <v>0</v>
      </c>
      <c r="O69" s="5">
        <f>IFERROR(VLOOKUP(U14Mruns[[#This Row],[Card]],results0121[],3,FALSE),999)</f>
        <v>46</v>
      </c>
      <c r="P69" s="5">
        <f>VLOOKUP(U14Mruns[[#This Row],[pos0121]],pointstable[],2,FALSE)</f>
        <v>14</v>
      </c>
      <c r="Q69" s="5">
        <f>IFERROR(VLOOKUP(U14Mruns[[#This Row],[Card]],results0118[],4,FALSE),999)</f>
        <v>47</v>
      </c>
      <c r="R69" s="5">
        <f>VLOOKUP(U14Mruns[[#This Row],[pos1.0118]],pointstable[],2,FALSE)</f>
        <v>13</v>
      </c>
      <c r="S69" s="5">
        <f>IFERROR(VLOOKUP(U14Mruns[[#This Row],[Card]],results0118[],5,FALSE),999)</f>
        <v>35</v>
      </c>
      <c r="T69" s="5">
        <f>VLOOKUP(U14Mruns[[#This Row],[pos2.0118]],pointstable[],2,FALSE)</f>
        <v>25</v>
      </c>
      <c r="U69" s="5">
        <f>IFERROR(VLOOKUP(U14Mruns[[#This Row],[Card]],results0123[],4,FALSE),999)</f>
        <v>63</v>
      </c>
      <c r="V69" s="5">
        <f>VLOOKUP(U14Mruns[[#This Row],[pos1.0123]],pointstable[],2,FALSE)</f>
        <v>0</v>
      </c>
      <c r="W69" s="5">
        <f>IFERROR(VLOOKUP(U14Mruns[[#This Row],[Card]],results0123[],5,FALSE),999)</f>
        <v>46</v>
      </c>
      <c r="X69" s="5">
        <f>VLOOKUP(U14Mruns[[#This Row],[pos2.0123]],pointstable[],2,FALSE)</f>
        <v>14</v>
      </c>
      <c r="Y69" s="5">
        <f>IFERROR(VLOOKUP(U14Mruns[[#This Row],[Card]],results0120[],4,FALSE),999)</f>
        <v>38</v>
      </c>
      <c r="Z69" s="5">
        <f>VLOOKUP(U14Mruns[[#This Row],[pos1.0120]],pointstable[],2,FALSE)</f>
        <v>22</v>
      </c>
      <c r="AA69" s="5">
        <f>IFERROR(VLOOKUP(U14Mruns[[#This Row],[Card]],results0120[],5,FALSE),999)</f>
        <v>45</v>
      </c>
      <c r="AB69" s="5">
        <f>VLOOKUP(U14Mruns[[#This Row],[pos2.0120]],pointstable[],2,FALSE)</f>
        <v>15</v>
      </c>
    </row>
    <row r="70" spans="1:28" x14ac:dyDescent="0.25">
      <c r="A70">
        <v>81500</v>
      </c>
      <c r="B70" t="s">
        <v>131</v>
      </c>
      <c r="C70" t="s">
        <v>22</v>
      </c>
      <c r="D70">
        <v>5</v>
      </c>
      <c r="E70" s="5">
        <f>MAX(U14Mruns[[#This Row],[pts1.0119]],U14Mruns[[#This Row],[pts2.0119]],U14Mruns[[#This Row],[pts1.0118]],U14Mruns[[#This Row],[pts2.0118]],U14Mruns[[#This Row],[pts1.0120]],U14Mruns[[#This Row],[pts2.0120]])</f>
        <v>21</v>
      </c>
      <c r="F70" s="5">
        <f>MAX(U14Mruns[[#This Row],[pts1.0117]],U14Mruns[[#This Row],[pts2.0117]],U14Mruns[[#This Row],[pts0121]],U14Mruns[[#This Row],[pts1.0123]],U14Mruns[[#This Row],[pts2.0123]])</f>
        <v>16</v>
      </c>
      <c r="G70" s="5">
        <f>IFERROR(VLOOKUP(U14Mruns[[#This Row],[Card]],results0117[],4,FALSE),999)</f>
        <v>44</v>
      </c>
      <c r="H70" s="5">
        <f>VLOOKUP(U14Mruns[[#This Row],[pos1.0117]],pointstable[],2,FALSE)</f>
        <v>16</v>
      </c>
      <c r="I70" s="5">
        <f>IFERROR(VLOOKUP(U14Mruns[[#This Row],[Card]],results0117[],5,FALSE),999)</f>
        <v>46</v>
      </c>
      <c r="J70" s="5">
        <f>VLOOKUP(U14Mruns[[#This Row],[pos2.0117]],pointstable[],2,FALSE)</f>
        <v>14</v>
      </c>
      <c r="K70" s="5">
        <f>IFERROR(VLOOKUP(U14Mruns[[#This Row],[Card]],results0119[],4,FALSE),999)</f>
        <v>999</v>
      </c>
      <c r="L70" s="5">
        <f>VLOOKUP(U14Mruns[[#This Row],[pos1.0119]],pointstable[],2,FALSE)</f>
        <v>0</v>
      </c>
      <c r="M70" s="5">
        <f>IFERROR(VLOOKUP(U14Mruns[[#This Row],[Card]],results0119[],5,FALSE),999)</f>
        <v>39</v>
      </c>
      <c r="N70" s="5">
        <f>VLOOKUP(U14Mruns[[#This Row],[pos2.0119]],pointstable[],2,FALSE)</f>
        <v>21</v>
      </c>
      <c r="O70" s="5">
        <f>IFERROR(VLOOKUP(U14Mruns[[#This Row],[Card]],results0121[],3,FALSE),999)</f>
        <v>48</v>
      </c>
      <c r="P70" s="5">
        <f>VLOOKUP(U14Mruns[[#This Row],[pos0121]],pointstable[],2,FALSE)</f>
        <v>12</v>
      </c>
      <c r="Q70" s="5">
        <f>IFERROR(VLOOKUP(U14Mruns[[#This Row],[Card]],results0118[],4,FALSE),999)</f>
        <v>54</v>
      </c>
      <c r="R70" s="5">
        <f>VLOOKUP(U14Mruns[[#This Row],[pos1.0118]],pointstable[],2,FALSE)</f>
        <v>6</v>
      </c>
      <c r="S70" s="5">
        <f>IFERROR(VLOOKUP(U14Mruns[[#This Row],[Card]],results0118[],5,FALSE),999)</f>
        <v>56</v>
      </c>
      <c r="T70" s="5">
        <f>VLOOKUP(U14Mruns[[#This Row],[pos2.0118]],pointstable[],2,FALSE)</f>
        <v>4</v>
      </c>
      <c r="U70" s="5">
        <f>IFERROR(VLOOKUP(U14Mruns[[#This Row],[Card]],results0123[],4,FALSE),999)</f>
        <v>68</v>
      </c>
      <c r="V70" s="5">
        <f>VLOOKUP(U14Mruns[[#This Row],[pos1.0123]],pointstable[],2,FALSE)</f>
        <v>0</v>
      </c>
      <c r="W70" s="5">
        <f>IFERROR(VLOOKUP(U14Mruns[[#This Row],[Card]],results0123[],5,FALSE),999)</f>
        <v>75</v>
      </c>
      <c r="X70" s="5">
        <f>VLOOKUP(U14Mruns[[#This Row],[pos2.0123]],pointstable[],2,FALSE)</f>
        <v>0</v>
      </c>
      <c r="Y70" s="5">
        <f>IFERROR(VLOOKUP(U14Mruns[[#This Row],[Card]],results0120[],4,FALSE),999)</f>
        <v>69</v>
      </c>
      <c r="Z70" s="5">
        <f>VLOOKUP(U14Mruns[[#This Row],[pos1.0120]],pointstable[],2,FALSE)</f>
        <v>0</v>
      </c>
      <c r="AA70" s="5">
        <f>IFERROR(VLOOKUP(U14Mruns[[#This Row],[Card]],results0120[],5,FALSE),999)</f>
        <v>999</v>
      </c>
      <c r="AB70" s="5">
        <f>VLOOKUP(U14Mruns[[#This Row],[pos2.0120]],pointstable[],2,FALSE)</f>
        <v>0</v>
      </c>
    </row>
    <row r="71" spans="1:28" x14ac:dyDescent="0.25">
      <c r="A71">
        <v>78398</v>
      </c>
      <c r="B71" t="s">
        <v>156</v>
      </c>
      <c r="C71" t="s">
        <v>19</v>
      </c>
      <c r="D71">
        <v>4</v>
      </c>
      <c r="E71" s="5">
        <f>MAX(U14Mruns[[#This Row],[pts1.0119]],U14Mruns[[#This Row],[pts2.0119]],U14Mruns[[#This Row],[pts1.0118]],U14Mruns[[#This Row],[pts2.0118]],U14Mruns[[#This Row],[pts1.0120]],U14Mruns[[#This Row],[pts2.0120]])</f>
        <v>25</v>
      </c>
      <c r="F71" s="5">
        <f>MAX(U14Mruns[[#This Row],[pts1.0117]],U14Mruns[[#This Row],[pts2.0117]],U14Mruns[[#This Row],[pts0121]],U14Mruns[[#This Row],[pts1.0123]],U14Mruns[[#This Row],[pts2.0123]])</f>
        <v>16</v>
      </c>
      <c r="G71" s="5">
        <f>IFERROR(VLOOKUP(U14Mruns[[#This Row],[Card]],results0117[],4,FALSE),999)</f>
        <v>65</v>
      </c>
      <c r="H71" s="5">
        <f>VLOOKUP(U14Mruns[[#This Row],[pos1.0117]],pointstable[],2,FALSE)</f>
        <v>0</v>
      </c>
      <c r="I71" s="5">
        <f>IFERROR(VLOOKUP(U14Mruns[[#This Row],[Card]],results0117[],5,FALSE),999)</f>
        <v>84</v>
      </c>
      <c r="J71" s="5">
        <f>VLOOKUP(U14Mruns[[#This Row],[pos2.0117]],pointstable[],2,FALSE)</f>
        <v>0</v>
      </c>
      <c r="K71" s="5">
        <f>IFERROR(VLOOKUP(U14Mruns[[#This Row],[Card]],results0119[],4,FALSE),999)</f>
        <v>47</v>
      </c>
      <c r="L71" s="5">
        <f>VLOOKUP(U14Mruns[[#This Row],[pos1.0119]],pointstable[],2,FALSE)</f>
        <v>13</v>
      </c>
      <c r="M71" s="5">
        <f>IFERROR(VLOOKUP(U14Mruns[[#This Row],[Card]],results0119[],5,FALSE),999)</f>
        <v>59</v>
      </c>
      <c r="N71" s="5">
        <f>VLOOKUP(U14Mruns[[#This Row],[pos2.0119]],pointstable[],2,FALSE)</f>
        <v>1</v>
      </c>
      <c r="O71" s="5">
        <f>IFERROR(VLOOKUP(U14Mruns[[#This Row],[Card]],results0121[],3,FALSE),999)</f>
        <v>44</v>
      </c>
      <c r="P71" s="5">
        <f>VLOOKUP(U14Mruns[[#This Row],[pos0121]],pointstable[],2,FALSE)</f>
        <v>16</v>
      </c>
      <c r="Q71" s="5">
        <f>IFERROR(VLOOKUP(U14Mruns[[#This Row],[Card]],results0118[],4,FALSE),999)</f>
        <v>999</v>
      </c>
      <c r="R71" s="5">
        <f>VLOOKUP(U14Mruns[[#This Row],[pos1.0118]],pointstable[],2,FALSE)</f>
        <v>0</v>
      </c>
      <c r="S71" s="5">
        <f>IFERROR(VLOOKUP(U14Mruns[[#This Row],[Card]],results0118[],5,FALSE),999)</f>
        <v>999</v>
      </c>
      <c r="T71" s="5">
        <f>VLOOKUP(U14Mruns[[#This Row],[pos2.0118]],pointstable[],2,FALSE)</f>
        <v>0</v>
      </c>
      <c r="U71" s="5">
        <f>IFERROR(VLOOKUP(U14Mruns[[#This Row],[Card]],results0123[],4,FALSE),999)</f>
        <v>78</v>
      </c>
      <c r="V71" s="5">
        <f>VLOOKUP(U14Mruns[[#This Row],[pos1.0123]],pointstable[],2,FALSE)</f>
        <v>0</v>
      </c>
      <c r="W71" s="5">
        <f>IFERROR(VLOOKUP(U14Mruns[[#This Row],[Card]],results0123[],5,FALSE),999)</f>
        <v>999</v>
      </c>
      <c r="X71" s="5">
        <f>VLOOKUP(U14Mruns[[#This Row],[pos2.0123]],pointstable[],2,FALSE)</f>
        <v>0</v>
      </c>
      <c r="Y71" s="5">
        <f>IFERROR(VLOOKUP(U14Mruns[[#This Row],[Card]],results0120[],4,FALSE),999)</f>
        <v>999</v>
      </c>
      <c r="Z71" s="5">
        <f>VLOOKUP(U14Mruns[[#This Row],[pos1.0120]],pointstable[],2,FALSE)</f>
        <v>0</v>
      </c>
      <c r="AA71" s="5">
        <f>IFERROR(VLOOKUP(U14Mruns[[#This Row],[Card]],results0120[],5,FALSE),999)</f>
        <v>35</v>
      </c>
      <c r="AB71" s="5">
        <f>VLOOKUP(U14Mruns[[#This Row],[pos2.0120]],pointstable[],2,FALSE)</f>
        <v>25</v>
      </c>
    </row>
    <row r="72" spans="1:28" x14ac:dyDescent="0.25">
      <c r="A72">
        <v>85772</v>
      </c>
      <c r="B72" t="s">
        <v>196</v>
      </c>
      <c r="C72" t="s">
        <v>15</v>
      </c>
      <c r="D72">
        <v>5</v>
      </c>
      <c r="E72" s="5">
        <f>MAX(U14Mruns[[#This Row],[pts1.0119]],U14Mruns[[#This Row],[pts2.0119]],U14Mruns[[#This Row],[pts1.0118]],U14Mruns[[#This Row],[pts2.0118]],U14Mruns[[#This Row],[pts1.0120]],U14Mruns[[#This Row],[pts2.0120]])</f>
        <v>19</v>
      </c>
      <c r="F72" s="5">
        <f>MAX(U14Mruns[[#This Row],[pts1.0117]],U14Mruns[[#This Row],[pts2.0117]],U14Mruns[[#This Row],[pts0121]],U14Mruns[[#This Row],[pts1.0123]],U14Mruns[[#This Row],[pts2.0123]])</f>
        <v>15</v>
      </c>
      <c r="G72" s="5">
        <f>IFERROR(VLOOKUP(U14Mruns[[#This Row],[Card]],results0117[],4,FALSE),999)</f>
        <v>45</v>
      </c>
      <c r="H72" s="5">
        <f>VLOOKUP(U14Mruns[[#This Row],[pos1.0117]],pointstable[],2,FALSE)</f>
        <v>15</v>
      </c>
      <c r="I72" s="5">
        <f>IFERROR(VLOOKUP(U14Mruns[[#This Row],[Card]],results0117[],5,FALSE),999)</f>
        <v>61</v>
      </c>
      <c r="J72" s="5">
        <f>VLOOKUP(U14Mruns[[#This Row],[pos2.0117]],pointstable[],2,FALSE)</f>
        <v>0</v>
      </c>
      <c r="K72" s="5">
        <f>IFERROR(VLOOKUP(U14Mruns[[#This Row],[Card]],results0119[],4,FALSE),999)</f>
        <v>48</v>
      </c>
      <c r="L72" s="5">
        <f>VLOOKUP(U14Mruns[[#This Row],[pos1.0119]],pointstable[],2,FALSE)</f>
        <v>12</v>
      </c>
      <c r="M72" s="5">
        <f>IFERROR(VLOOKUP(U14Mruns[[#This Row],[Card]],results0119[],5,FALSE),999)</f>
        <v>70</v>
      </c>
      <c r="N72" s="5">
        <f>VLOOKUP(U14Mruns[[#This Row],[pos2.0119]],pointstable[],2,FALSE)</f>
        <v>0</v>
      </c>
      <c r="O72" s="5">
        <f>IFERROR(VLOOKUP(U14Mruns[[#This Row],[Card]],results0121[],3,FALSE),999)</f>
        <v>999</v>
      </c>
      <c r="P72" s="5">
        <f>VLOOKUP(U14Mruns[[#This Row],[pos0121]],pointstable[],2,FALSE)</f>
        <v>0</v>
      </c>
      <c r="Q72" s="5">
        <f>IFERROR(VLOOKUP(U14Mruns[[#This Row],[Card]],results0118[],4,FALSE),999)</f>
        <v>43</v>
      </c>
      <c r="R72" s="5">
        <f>VLOOKUP(U14Mruns[[#This Row],[pos1.0118]],pointstable[],2,FALSE)</f>
        <v>17</v>
      </c>
      <c r="S72" s="5">
        <f>IFERROR(VLOOKUP(U14Mruns[[#This Row],[Card]],results0118[],5,FALSE),999)</f>
        <v>54</v>
      </c>
      <c r="T72" s="5">
        <f>VLOOKUP(U14Mruns[[#This Row],[pos2.0118]],pointstable[],2,FALSE)</f>
        <v>6</v>
      </c>
      <c r="U72" s="5">
        <f>IFERROR(VLOOKUP(U14Mruns[[#This Row],[Card]],results0123[],4,FALSE),999)</f>
        <v>49</v>
      </c>
      <c r="V72" s="5">
        <f>VLOOKUP(U14Mruns[[#This Row],[pos1.0123]],pointstable[],2,FALSE)</f>
        <v>11</v>
      </c>
      <c r="W72" s="5">
        <f>IFERROR(VLOOKUP(U14Mruns[[#This Row],[Card]],results0123[],5,FALSE),999)</f>
        <v>53</v>
      </c>
      <c r="X72" s="5">
        <f>VLOOKUP(U14Mruns[[#This Row],[pos2.0123]],pointstable[],2,FALSE)</f>
        <v>7</v>
      </c>
      <c r="Y72" s="5">
        <f>IFERROR(VLOOKUP(U14Mruns[[#This Row],[Card]],results0120[],4,FALSE),999)</f>
        <v>41</v>
      </c>
      <c r="Z72" s="5">
        <f>VLOOKUP(U14Mruns[[#This Row],[pos1.0120]],pointstable[],2,FALSE)</f>
        <v>19</v>
      </c>
      <c r="AA72" s="5">
        <f>IFERROR(VLOOKUP(U14Mruns[[#This Row],[Card]],results0120[],5,FALSE),999)</f>
        <v>999</v>
      </c>
      <c r="AB72" s="5">
        <f>VLOOKUP(U14Mruns[[#This Row],[pos2.0120]],pointstable[],2,FALSE)</f>
        <v>0</v>
      </c>
    </row>
    <row r="73" spans="1:28" x14ac:dyDescent="0.25">
      <c r="A73">
        <v>82403</v>
      </c>
      <c r="B73" t="s">
        <v>175</v>
      </c>
      <c r="C73" t="s">
        <v>19</v>
      </c>
      <c r="D73">
        <v>5</v>
      </c>
      <c r="E73" s="5">
        <f>MAX(U14Mruns[[#This Row],[pts1.0119]],U14Mruns[[#This Row],[pts2.0119]],U14Mruns[[#This Row],[pts1.0118]],U14Mruns[[#This Row],[pts2.0118]],U14Mruns[[#This Row],[pts1.0120]],U14Mruns[[#This Row],[pts2.0120]])</f>
        <v>3</v>
      </c>
      <c r="F73" s="5">
        <f>MAX(U14Mruns[[#This Row],[pts1.0117]],U14Mruns[[#This Row],[pts2.0117]],U14Mruns[[#This Row],[pts0121]],U14Mruns[[#This Row],[pts1.0123]],U14Mruns[[#This Row],[pts2.0123]])</f>
        <v>29</v>
      </c>
      <c r="G73" s="5">
        <f>IFERROR(VLOOKUP(U14Mruns[[#This Row],[Card]],results0117[],4,FALSE),999)</f>
        <v>55</v>
      </c>
      <c r="H73" s="5">
        <f>VLOOKUP(U14Mruns[[#This Row],[pos1.0117]],pointstable[],2,FALSE)</f>
        <v>5</v>
      </c>
      <c r="I73" s="5">
        <f>IFERROR(VLOOKUP(U14Mruns[[#This Row],[Card]],results0117[],5,FALSE),999)</f>
        <v>45</v>
      </c>
      <c r="J73" s="5">
        <f>VLOOKUP(U14Mruns[[#This Row],[pos2.0117]],pointstable[],2,FALSE)</f>
        <v>15</v>
      </c>
      <c r="K73" s="5">
        <f>IFERROR(VLOOKUP(U14Mruns[[#This Row],[Card]],results0119[],4,FALSE),999)</f>
        <v>999</v>
      </c>
      <c r="L73" s="5">
        <f>VLOOKUP(U14Mruns[[#This Row],[pos1.0119]],pointstable[],2,FALSE)</f>
        <v>0</v>
      </c>
      <c r="M73" s="5">
        <f>IFERROR(VLOOKUP(U14Mruns[[#This Row],[Card]],results0119[],5,FALSE),999)</f>
        <v>60</v>
      </c>
      <c r="N73" s="5">
        <f>VLOOKUP(U14Mruns[[#This Row],[pos2.0119]],pointstable[],2,FALSE)</f>
        <v>1</v>
      </c>
      <c r="O73" s="5">
        <f>IFERROR(VLOOKUP(U14Mruns[[#This Row],[Card]],results0121[],3,FALSE),999)</f>
        <v>63</v>
      </c>
      <c r="P73" s="5">
        <f>VLOOKUP(U14Mruns[[#This Row],[pos0121]],pointstable[],2,FALSE)</f>
        <v>0</v>
      </c>
      <c r="Q73" s="5">
        <f>IFERROR(VLOOKUP(U14Mruns[[#This Row],[Card]],results0118[],4,FALSE),999)</f>
        <v>57</v>
      </c>
      <c r="R73" s="5">
        <f>VLOOKUP(U14Mruns[[#This Row],[pos1.0118]],pointstable[],2,FALSE)</f>
        <v>3</v>
      </c>
      <c r="S73" s="5">
        <f>IFERROR(VLOOKUP(U14Mruns[[#This Row],[Card]],results0118[],5,FALSE),999)</f>
        <v>68</v>
      </c>
      <c r="T73" s="5">
        <f>VLOOKUP(U14Mruns[[#This Row],[pos2.0118]],pointstable[],2,FALSE)</f>
        <v>0</v>
      </c>
      <c r="U73" s="5">
        <f>IFERROR(VLOOKUP(U14Mruns[[#This Row],[Card]],results0123[],4,FALSE),999)</f>
        <v>31</v>
      </c>
      <c r="V73" s="5">
        <f>VLOOKUP(U14Mruns[[#This Row],[pos1.0123]],pointstable[],2,FALSE)</f>
        <v>29</v>
      </c>
      <c r="W73" s="5">
        <f>IFERROR(VLOOKUP(U14Mruns[[#This Row],[Card]],results0123[],5,FALSE),999)</f>
        <v>51</v>
      </c>
      <c r="X73" s="5">
        <f>VLOOKUP(U14Mruns[[#This Row],[pos2.0123]],pointstable[],2,FALSE)</f>
        <v>9</v>
      </c>
      <c r="Y73" s="5">
        <f>IFERROR(VLOOKUP(U14Mruns[[#This Row],[Card]],results0120[],4,FALSE),999)</f>
        <v>999</v>
      </c>
      <c r="Z73" s="5">
        <f>VLOOKUP(U14Mruns[[#This Row],[pos1.0120]],pointstable[],2,FALSE)</f>
        <v>0</v>
      </c>
      <c r="AA73" s="5">
        <f>IFERROR(VLOOKUP(U14Mruns[[#This Row],[Card]],results0120[],5,FALSE),999)</f>
        <v>999</v>
      </c>
      <c r="AB73" s="5">
        <f>VLOOKUP(U14Mruns[[#This Row],[pos2.0120]],pointstable[],2,FALSE)</f>
        <v>0</v>
      </c>
    </row>
    <row r="74" spans="1:28" x14ac:dyDescent="0.25">
      <c r="A74">
        <v>89505</v>
      </c>
      <c r="B74" t="s">
        <v>387</v>
      </c>
      <c r="C74" t="s">
        <v>388</v>
      </c>
      <c r="D74" s="5">
        <v>5</v>
      </c>
      <c r="E74" s="5">
        <f>MAX(U14Mruns[[#This Row],[pts1.0119]],U14Mruns[[#This Row],[pts2.0119]],U14Mruns[[#This Row],[pts1.0118]],U14Mruns[[#This Row],[pts2.0118]],U14Mruns[[#This Row],[pts1.0120]],U14Mruns[[#This Row],[pts2.0120]])</f>
        <v>8</v>
      </c>
      <c r="F74" s="5">
        <f>MAX(U14Mruns[[#This Row],[pts1.0117]],U14Mruns[[#This Row],[pts2.0117]],U14Mruns[[#This Row],[pts0121]],U14Mruns[[#This Row],[pts1.0123]],U14Mruns[[#This Row],[pts2.0123]])</f>
        <v>41</v>
      </c>
      <c r="G74" s="5">
        <f>IFERROR(VLOOKUP(U14Mruns[[#This Row],[Card]],results0117[],4,FALSE),999)</f>
        <v>999</v>
      </c>
      <c r="H74" s="5">
        <f>VLOOKUP(U14Mruns[[#This Row],[pos1.0117]],pointstable[],2,FALSE)</f>
        <v>0</v>
      </c>
      <c r="I74" s="5">
        <f>IFERROR(VLOOKUP(U14Mruns[[#This Row],[Card]],results0117[],5,FALSE),999)</f>
        <v>65</v>
      </c>
      <c r="J74" s="5">
        <f>VLOOKUP(U14Mruns[[#This Row],[pos2.0117]],pointstable[],2,FALSE)</f>
        <v>0</v>
      </c>
      <c r="K74" s="5">
        <f>IFERROR(VLOOKUP(U14Mruns[[#This Row],[Card]],results0119[],4,FALSE),999)</f>
        <v>999</v>
      </c>
      <c r="L74" s="5">
        <f>VLOOKUP(U14Mruns[[#This Row],[pos1.0119]],pointstable[],2,FALSE)</f>
        <v>0</v>
      </c>
      <c r="M74" s="5">
        <f>IFERROR(VLOOKUP(U14Mruns[[#This Row],[Card]],results0119[],5,FALSE),999)</f>
        <v>79</v>
      </c>
      <c r="N74" s="5">
        <f>VLOOKUP(U14Mruns[[#This Row],[pos2.0119]],pointstable[],2,FALSE)</f>
        <v>0</v>
      </c>
      <c r="O74" s="5">
        <f>IFERROR(VLOOKUP(U14Mruns[[#This Row],[Card]],results0121[],3,FALSE),999)</f>
        <v>45</v>
      </c>
      <c r="P74" s="5">
        <f>VLOOKUP(U14Mruns[[#This Row],[pos0121]],pointstable[],2,FALSE)</f>
        <v>15</v>
      </c>
      <c r="Q74" s="5">
        <f>IFERROR(VLOOKUP(U14Mruns[[#This Row],[Card]],results0118[],4,FALSE),999)</f>
        <v>72</v>
      </c>
      <c r="R74" s="5">
        <f>VLOOKUP(U14Mruns[[#This Row],[pos1.0118]],pointstable[],2,FALSE)</f>
        <v>0</v>
      </c>
      <c r="S74" s="5">
        <f>IFERROR(VLOOKUP(U14Mruns[[#This Row],[Card]],results0118[],5,FALSE),999)</f>
        <v>75</v>
      </c>
      <c r="T74" s="5">
        <f>VLOOKUP(U14Mruns[[#This Row],[pos2.0118]],pointstable[],2,FALSE)</f>
        <v>0</v>
      </c>
      <c r="U74" s="5">
        <f>IFERROR(VLOOKUP(U14Mruns[[#This Row],[Card]],results0123[],4,FALSE),999)</f>
        <v>24</v>
      </c>
      <c r="V74" s="5">
        <f>VLOOKUP(U14Mruns[[#This Row],[pos1.0123]],pointstable[],2,FALSE)</f>
        <v>41</v>
      </c>
      <c r="W74" s="5">
        <f>IFERROR(VLOOKUP(U14Mruns[[#This Row],[Card]],results0123[],5,FALSE),999)</f>
        <v>999</v>
      </c>
      <c r="X74" s="5">
        <f>VLOOKUP(U14Mruns[[#This Row],[pos2.0123]],pointstable[],2,FALSE)</f>
        <v>0</v>
      </c>
      <c r="Y74" s="5">
        <f>IFERROR(VLOOKUP(U14Mruns[[#This Row],[Card]],results0120[],4,FALSE),999)</f>
        <v>52</v>
      </c>
      <c r="Z74" s="5">
        <f>VLOOKUP(U14Mruns[[#This Row],[pos1.0120]],pointstable[],2,FALSE)</f>
        <v>8</v>
      </c>
      <c r="AA74" s="5">
        <f>IFERROR(VLOOKUP(U14Mruns[[#This Row],[Card]],results0120[],5,FALSE),999)</f>
        <v>58</v>
      </c>
      <c r="AB74" s="5">
        <f>VLOOKUP(U14Mruns[[#This Row],[pos2.0120]],pointstable[],2,FALSE)</f>
        <v>2</v>
      </c>
    </row>
    <row r="75" spans="1:28" x14ac:dyDescent="0.25">
      <c r="A75">
        <v>81705</v>
      </c>
      <c r="B75" t="s">
        <v>165</v>
      </c>
      <c r="C75" s="5" t="s">
        <v>31</v>
      </c>
      <c r="D75">
        <v>4</v>
      </c>
      <c r="E75" s="5">
        <f>MAX(U14Mruns[[#This Row],[pts1.0119]],U14Mruns[[#This Row],[pts2.0119]],U14Mruns[[#This Row],[pts1.0118]],U14Mruns[[#This Row],[pts2.0118]],U14Mruns[[#This Row],[pts1.0120]],U14Mruns[[#This Row],[pts2.0120]])</f>
        <v>9</v>
      </c>
      <c r="F75" s="5">
        <f>MAX(U14Mruns[[#This Row],[pts1.0117]],U14Mruns[[#This Row],[pts2.0117]],U14Mruns[[#This Row],[pts0121]],U14Mruns[[#This Row],[pts1.0123]],U14Mruns[[#This Row],[pts2.0123]])</f>
        <v>14</v>
      </c>
      <c r="G75" s="5">
        <f>IFERROR(VLOOKUP(U14Mruns[[#This Row],[Card]],results0117[],4,FALSE),999)</f>
        <v>46</v>
      </c>
      <c r="H75" s="5">
        <f>VLOOKUP(U14Mruns[[#This Row],[pos1.0117]],pointstable[],2,FALSE)</f>
        <v>14</v>
      </c>
      <c r="I75" s="5">
        <f>IFERROR(VLOOKUP(U14Mruns[[#This Row],[Card]],results0117[],5,FALSE),999)</f>
        <v>68</v>
      </c>
      <c r="J75" s="5">
        <f>VLOOKUP(U14Mruns[[#This Row],[pos2.0117]],pointstable[],2,FALSE)</f>
        <v>0</v>
      </c>
      <c r="K75" s="5">
        <f>IFERROR(VLOOKUP(U14Mruns[[#This Row],[Card]],results0119[],4,FALSE),999)</f>
        <v>53</v>
      </c>
      <c r="L75" s="5">
        <f>VLOOKUP(U14Mruns[[#This Row],[pos1.0119]],pointstable[],2,FALSE)</f>
        <v>7</v>
      </c>
      <c r="M75" s="5">
        <f>IFERROR(VLOOKUP(U14Mruns[[#This Row],[Card]],results0119[],5,FALSE),999)</f>
        <v>54</v>
      </c>
      <c r="N75" s="5">
        <f>VLOOKUP(U14Mruns[[#This Row],[pos2.0119]],pointstable[],2,FALSE)</f>
        <v>6</v>
      </c>
      <c r="O75" s="5">
        <f>IFERROR(VLOOKUP(U14Mruns[[#This Row],[Card]],results0121[],3,FALSE),999)</f>
        <v>999</v>
      </c>
      <c r="P75" s="5">
        <f>VLOOKUP(U14Mruns[[#This Row],[pos0121]],pointstable[],2,FALSE)</f>
        <v>0</v>
      </c>
      <c r="Q75" s="5">
        <f>IFERROR(VLOOKUP(U14Mruns[[#This Row],[Card]],results0118[],4,FALSE),999)</f>
        <v>999</v>
      </c>
      <c r="R75" s="5">
        <f>VLOOKUP(U14Mruns[[#This Row],[pos1.0118]],pointstable[],2,FALSE)</f>
        <v>0</v>
      </c>
      <c r="S75" s="5">
        <f>IFERROR(VLOOKUP(U14Mruns[[#This Row],[Card]],results0118[],5,FALSE),999)</f>
        <v>51</v>
      </c>
      <c r="T75" s="5">
        <f>VLOOKUP(U14Mruns[[#This Row],[pos2.0118]],pointstable[],2,FALSE)</f>
        <v>9</v>
      </c>
      <c r="U75" s="5">
        <f>IFERROR(VLOOKUP(U14Mruns[[#This Row],[Card]],results0123[],4,FALSE),999)</f>
        <v>999</v>
      </c>
      <c r="V75" s="5">
        <f>VLOOKUP(U14Mruns[[#This Row],[pos1.0123]],pointstable[],2,FALSE)</f>
        <v>0</v>
      </c>
      <c r="W75" s="5">
        <f>IFERROR(VLOOKUP(U14Mruns[[#This Row],[Card]],results0123[],5,FALSE),999)</f>
        <v>83</v>
      </c>
      <c r="X75" s="5">
        <f>VLOOKUP(U14Mruns[[#This Row],[pos2.0123]],pointstable[],2,FALSE)</f>
        <v>0</v>
      </c>
      <c r="Y75" s="5">
        <f>IFERROR(VLOOKUP(U14Mruns[[#This Row],[Card]],results0120[],4,FALSE),999)</f>
        <v>58</v>
      </c>
      <c r="Z75" s="5">
        <f>VLOOKUP(U14Mruns[[#This Row],[pos1.0120]],pointstable[],2,FALSE)</f>
        <v>2</v>
      </c>
      <c r="AA75" s="5">
        <f>IFERROR(VLOOKUP(U14Mruns[[#This Row],[Card]],results0120[],5,FALSE),999)</f>
        <v>999</v>
      </c>
      <c r="AB75" s="5">
        <f>VLOOKUP(U14Mruns[[#This Row],[pos2.0120]],pointstable[],2,FALSE)</f>
        <v>0</v>
      </c>
    </row>
    <row r="76" spans="1:28" x14ac:dyDescent="0.25">
      <c r="A76">
        <v>85448</v>
      </c>
      <c r="B76" t="s">
        <v>224</v>
      </c>
      <c r="C76" t="s">
        <v>101</v>
      </c>
      <c r="D76">
        <v>4</v>
      </c>
      <c r="E76" s="5">
        <f>MAX(U14Mruns[[#This Row],[pts1.0119]],U14Mruns[[#This Row],[pts2.0119]],U14Mruns[[#This Row],[pts1.0118]],U14Mruns[[#This Row],[pts2.0118]],U14Mruns[[#This Row],[pts1.0120]],U14Mruns[[#This Row],[pts2.0120]])</f>
        <v>18</v>
      </c>
      <c r="F76" s="5">
        <f>MAX(U14Mruns[[#This Row],[pts1.0117]],U14Mruns[[#This Row],[pts2.0117]],U14Mruns[[#This Row],[pts0121]],U14Mruns[[#This Row],[pts1.0123]],U14Mruns[[#This Row],[pts2.0123]])</f>
        <v>12</v>
      </c>
      <c r="G76" s="5">
        <f>IFERROR(VLOOKUP(U14Mruns[[#This Row],[Card]],results0117[],4,FALSE),999)</f>
        <v>51</v>
      </c>
      <c r="H76" s="5">
        <f>VLOOKUP(U14Mruns[[#This Row],[pos1.0117]],pointstable[],2,FALSE)</f>
        <v>9</v>
      </c>
      <c r="I76" s="5">
        <f>IFERROR(VLOOKUP(U14Mruns[[#This Row],[Card]],results0117[],5,FALSE),999)</f>
        <v>48</v>
      </c>
      <c r="J76" s="5">
        <f>VLOOKUP(U14Mruns[[#This Row],[pos2.0117]],pointstable[],2,FALSE)</f>
        <v>12</v>
      </c>
      <c r="K76" s="5">
        <f>IFERROR(VLOOKUP(U14Mruns[[#This Row],[Card]],results0119[],4,FALSE),999)</f>
        <v>999</v>
      </c>
      <c r="L76" s="5">
        <f>VLOOKUP(U14Mruns[[#This Row],[pos1.0119]],pointstable[],2,FALSE)</f>
        <v>0</v>
      </c>
      <c r="M76" s="5">
        <f>IFERROR(VLOOKUP(U14Mruns[[#This Row],[Card]],results0119[],5,FALSE),999)</f>
        <v>42</v>
      </c>
      <c r="N76" s="5">
        <f>VLOOKUP(U14Mruns[[#This Row],[pos2.0119]],pointstable[],2,FALSE)</f>
        <v>18</v>
      </c>
      <c r="O76" s="5">
        <f>IFERROR(VLOOKUP(U14Mruns[[#This Row],[Card]],results0121[],3,FALSE),999)</f>
        <v>999</v>
      </c>
      <c r="P76" s="5">
        <f>VLOOKUP(U14Mruns[[#This Row],[pos0121]],pointstable[],2,FALSE)</f>
        <v>0</v>
      </c>
      <c r="Q76" s="5">
        <f>IFERROR(VLOOKUP(U14Mruns[[#This Row],[Card]],results0118[],4,FALSE),999)</f>
        <v>69</v>
      </c>
      <c r="R76" s="5">
        <f>VLOOKUP(U14Mruns[[#This Row],[pos1.0118]],pointstable[],2,FALSE)</f>
        <v>0</v>
      </c>
      <c r="S76" s="5">
        <f>IFERROR(VLOOKUP(U14Mruns[[#This Row],[Card]],results0118[],5,FALSE),999)</f>
        <v>73</v>
      </c>
      <c r="T76" s="5">
        <f>VLOOKUP(U14Mruns[[#This Row],[pos2.0118]],pointstable[],2,FALSE)</f>
        <v>0</v>
      </c>
      <c r="U76" s="5">
        <f>IFERROR(VLOOKUP(U14Mruns[[#This Row],[Card]],results0123[],4,FALSE),999)</f>
        <v>97</v>
      </c>
      <c r="V76" s="5">
        <f>VLOOKUP(U14Mruns[[#This Row],[pos1.0123]],pointstable[],2,FALSE)</f>
        <v>0</v>
      </c>
      <c r="W76" s="5">
        <f>IFERROR(VLOOKUP(U14Mruns[[#This Row],[Card]],results0123[],5,FALSE),999)</f>
        <v>70</v>
      </c>
      <c r="X76" s="5">
        <f>VLOOKUP(U14Mruns[[#This Row],[pos2.0123]],pointstable[],2,FALSE)</f>
        <v>0</v>
      </c>
      <c r="Y76" s="5">
        <f>IFERROR(VLOOKUP(U14Mruns[[#This Row],[Card]],results0120[],4,FALSE),999)</f>
        <v>999</v>
      </c>
      <c r="Z76" s="5">
        <f>VLOOKUP(U14Mruns[[#This Row],[pos1.0120]],pointstable[],2,FALSE)</f>
        <v>0</v>
      </c>
      <c r="AA76" s="5">
        <f>IFERROR(VLOOKUP(U14Mruns[[#This Row],[Card]],results0120[],5,FALSE),999)</f>
        <v>56</v>
      </c>
      <c r="AB76" s="5">
        <f>VLOOKUP(U14Mruns[[#This Row],[pos2.0120]],pointstable[],2,FALSE)</f>
        <v>4</v>
      </c>
    </row>
    <row r="77" spans="1:28" x14ac:dyDescent="0.25">
      <c r="A77">
        <v>81879</v>
      </c>
      <c r="B77" t="s">
        <v>146</v>
      </c>
      <c r="C77" t="s">
        <v>22</v>
      </c>
      <c r="D77">
        <v>5</v>
      </c>
      <c r="E77" s="5">
        <f>MAX(U14Mruns[[#This Row],[pts1.0119]],U14Mruns[[#This Row],[pts2.0119]],U14Mruns[[#This Row],[pts1.0118]],U14Mruns[[#This Row],[pts2.0118]],U14Mruns[[#This Row],[pts1.0120]],U14Mruns[[#This Row],[pts2.0120]])</f>
        <v>12</v>
      </c>
      <c r="F77" s="5">
        <f>MAX(U14Mruns[[#This Row],[pts1.0117]],U14Mruns[[#This Row],[pts2.0117]],U14Mruns[[#This Row],[pts0121]],U14Mruns[[#This Row],[pts1.0123]],U14Mruns[[#This Row],[pts2.0123]])</f>
        <v>10</v>
      </c>
      <c r="G77" s="5">
        <f>IFERROR(VLOOKUP(U14Mruns[[#This Row],[Card]],results0117[],4,FALSE),999)</f>
        <v>999</v>
      </c>
      <c r="H77" s="5">
        <f>VLOOKUP(U14Mruns[[#This Row],[pos1.0117]],pointstable[],2,FALSE)</f>
        <v>0</v>
      </c>
      <c r="I77" s="5">
        <f>IFERROR(VLOOKUP(U14Mruns[[#This Row],[Card]],results0117[],5,FALSE),999)</f>
        <v>51</v>
      </c>
      <c r="J77" s="5">
        <f>VLOOKUP(U14Mruns[[#This Row],[pos2.0117]],pointstable[],2,FALSE)</f>
        <v>9</v>
      </c>
      <c r="K77" s="5">
        <f>IFERROR(VLOOKUP(U14Mruns[[#This Row],[Card]],results0119[],4,FALSE),999)</f>
        <v>999</v>
      </c>
      <c r="L77" s="5">
        <f>VLOOKUP(U14Mruns[[#This Row],[pos1.0119]],pointstable[],2,FALSE)</f>
        <v>0</v>
      </c>
      <c r="M77" s="5">
        <f>IFERROR(VLOOKUP(U14Mruns[[#This Row],[Card]],results0119[],5,FALSE),999)</f>
        <v>71</v>
      </c>
      <c r="N77" s="5">
        <f>VLOOKUP(U14Mruns[[#This Row],[pos2.0119]],pointstable[],2,FALSE)</f>
        <v>0</v>
      </c>
      <c r="O77" s="5">
        <f>IFERROR(VLOOKUP(U14Mruns[[#This Row],[Card]],results0121[],3,FALSE),999)</f>
        <v>54</v>
      </c>
      <c r="P77" s="5">
        <f>VLOOKUP(U14Mruns[[#This Row],[pos0121]],pointstable[],2,FALSE)</f>
        <v>6</v>
      </c>
      <c r="Q77" s="5">
        <f>IFERROR(VLOOKUP(U14Mruns[[#This Row],[Card]],results0118[],4,FALSE),999)</f>
        <v>57</v>
      </c>
      <c r="R77" s="5">
        <f>VLOOKUP(U14Mruns[[#This Row],[pos1.0118]],pointstable[],2,FALSE)</f>
        <v>3</v>
      </c>
      <c r="S77" s="5">
        <f>IFERROR(VLOOKUP(U14Mruns[[#This Row],[Card]],results0118[],5,FALSE),999)</f>
        <v>48</v>
      </c>
      <c r="T77" s="5">
        <f>VLOOKUP(U14Mruns[[#This Row],[pos2.0118]],pointstable[],2,FALSE)</f>
        <v>12</v>
      </c>
      <c r="U77" s="5">
        <f>IFERROR(VLOOKUP(U14Mruns[[#This Row],[Card]],results0123[],4,FALSE),999)</f>
        <v>50</v>
      </c>
      <c r="V77" s="5">
        <f>VLOOKUP(U14Mruns[[#This Row],[pos1.0123]],pointstable[],2,FALSE)</f>
        <v>10</v>
      </c>
      <c r="W77" s="5">
        <f>IFERROR(VLOOKUP(U14Mruns[[#This Row],[Card]],results0123[],5,FALSE),999)</f>
        <v>50</v>
      </c>
      <c r="X77" s="5">
        <f>VLOOKUP(U14Mruns[[#This Row],[pos2.0123]],pointstable[],2,FALSE)</f>
        <v>10</v>
      </c>
      <c r="Y77" s="5">
        <f>IFERROR(VLOOKUP(U14Mruns[[#This Row],[Card]],results0120[],4,FALSE),999)</f>
        <v>999</v>
      </c>
      <c r="Z77" s="5">
        <f>VLOOKUP(U14Mruns[[#This Row],[pos1.0120]],pointstable[],2,FALSE)</f>
        <v>0</v>
      </c>
      <c r="AA77" s="5">
        <f>IFERROR(VLOOKUP(U14Mruns[[#This Row],[Card]],results0120[],5,FALSE),999)</f>
        <v>999</v>
      </c>
      <c r="AB77" s="5">
        <f>VLOOKUP(U14Mruns[[#This Row],[pos2.0120]],pointstable[],2,FALSE)</f>
        <v>0</v>
      </c>
    </row>
    <row r="78" spans="1:28" x14ac:dyDescent="0.25">
      <c r="A78">
        <v>81455</v>
      </c>
      <c r="B78" t="s">
        <v>171</v>
      </c>
      <c r="C78" t="s">
        <v>19</v>
      </c>
      <c r="D78">
        <v>5</v>
      </c>
      <c r="E78" s="5">
        <f>MAX(U14Mruns[[#This Row],[pts1.0119]],U14Mruns[[#This Row],[pts2.0119]],U14Mruns[[#This Row],[pts1.0118]],U14Mruns[[#This Row],[pts2.0118]],U14Mruns[[#This Row],[pts1.0120]],U14Mruns[[#This Row],[pts2.0120]])</f>
        <v>14</v>
      </c>
      <c r="F78" s="5">
        <f>MAX(U14Mruns[[#This Row],[pts1.0117]],U14Mruns[[#This Row],[pts2.0117]],U14Mruns[[#This Row],[pts0121]],U14Mruns[[#This Row],[pts1.0123]],U14Mruns[[#This Row],[pts2.0123]])</f>
        <v>8</v>
      </c>
      <c r="G78" s="5">
        <f>IFERROR(VLOOKUP(U14Mruns[[#This Row],[Card]],results0117[],4,FALSE),999)</f>
        <v>52</v>
      </c>
      <c r="H78" s="5">
        <f>VLOOKUP(U14Mruns[[#This Row],[pos1.0117]],pointstable[],2,FALSE)</f>
        <v>8</v>
      </c>
      <c r="I78" s="5">
        <f>IFERROR(VLOOKUP(U14Mruns[[#This Row],[Card]],results0117[],5,FALSE),999)</f>
        <v>999</v>
      </c>
      <c r="J78" s="5">
        <f>VLOOKUP(U14Mruns[[#This Row],[pos2.0117]],pointstable[],2,FALSE)</f>
        <v>0</v>
      </c>
      <c r="K78" s="5">
        <f>IFERROR(VLOOKUP(U14Mruns[[#This Row],[Card]],results0119[],4,FALSE),999)</f>
        <v>999</v>
      </c>
      <c r="L78" s="5">
        <f>VLOOKUP(U14Mruns[[#This Row],[pos1.0119]],pointstable[],2,FALSE)</f>
        <v>0</v>
      </c>
      <c r="M78" s="5">
        <f>IFERROR(VLOOKUP(U14Mruns[[#This Row],[Card]],results0119[],5,FALSE),999)</f>
        <v>999</v>
      </c>
      <c r="N78" s="5">
        <f>VLOOKUP(U14Mruns[[#This Row],[pos2.0119]],pointstable[],2,FALSE)</f>
        <v>0</v>
      </c>
      <c r="O78" s="5">
        <f>IFERROR(VLOOKUP(U14Mruns[[#This Row],[Card]],results0121[],3,FALSE),999)</f>
        <v>67</v>
      </c>
      <c r="P78" s="5">
        <f>VLOOKUP(U14Mruns[[#This Row],[pos0121]],pointstable[],2,FALSE)</f>
        <v>0</v>
      </c>
      <c r="Q78" s="5">
        <f>IFERROR(VLOOKUP(U14Mruns[[#This Row],[Card]],results0118[],4,FALSE),999)</f>
        <v>52</v>
      </c>
      <c r="R78" s="5">
        <f>VLOOKUP(U14Mruns[[#This Row],[pos1.0118]],pointstable[],2,FALSE)</f>
        <v>8</v>
      </c>
      <c r="S78" s="5">
        <f>IFERROR(VLOOKUP(U14Mruns[[#This Row],[Card]],results0118[],5,FALSE),999)</f>
        <v>59</v>
      </c>
      <c r="T78" s="5">
        <f>VLOOKUP(U14Mruns[[#This Row],[pos2.0118]],pointstable[],2,FALSE)</f>
        <v>1</v>
      </c>
      <c r="U78" s="5">
        <f>IFERROR(VLOOKUP(U14Mruns[[#This Row],[Card]],results0123[],4,FALSE),999)</f>
        <v>60</v>
      </c>
      <c r="V78" s="5">
        <f>VLOOKUP(U14Mruns[[#This Row],[pos1.0123]],pointstable[],2,FALSE)</f>
        <v>1</v>
      </c>
      <c r="W78" s="5">
        <f>IFERROR(VLOOKUP(U14Mruns[[#This Row],[Card]],results0123[],5,FALSE),999)</f>
        <v>53</v>
      </c>
      <c r="X78" s="5">
        <f>VLOOKUP(U14Mruns[[#This Row],[pos2.0123]],pointstable[],2,FALSE)</f>
        <v>7</v>
      </c>
      <c r="Y78" s="5">
        <f>IFERROR(VLOOKUP(U14Mruns[[#This Row],[Card]],results0120[],4,FALSE),999)</f>
        <v>46</v>
      </c>
      <c r="Z78" s="5">
        <f>VLOOKUP(U14Mruns[[#This Row],[pos1.0120]],pointstable[],2,FALSE)</f>
        <v>14</v>
      </c>
      <c r="AA78" s="5">
        <f>IFERROR(VLOOKUP(U14Mruns[[#This Row],[Card]],results0120[],5,FALSE),999)</f>
        <v>48</v>
      </c>
      <c r="AB78" s="5">
        <f>VLOOKUP(U14Mruns[[#This Row],[pos2.0120]],pointstable[],2,FALSE)</f>
        <v>12</v>
      </c>
    </row>
    <row r="79" spans="1:28" x14ac:dyDescent="0.25">
      <c r="A79">
        <v>84722</v>
      </c>
      <c r="B79" t="s">
        <v>169</v>
      </c>
      <c r="C79" t="s">
        <v>61</v>
      </c>
      <c r="D79">
        <v>4</v>
      </c>
      <c r="E79" s="5">
        <f>MAX(U14Mruns[[#This Row],[pts1.0119]],U14Mruns[[#This Row],[pts2.0119]],U14Mruns[[#This Row],[pts1.0118]],U14Mruns[[#This Row],[pts2.0118]],U14Mruns[[#This Row],[pts1.0120]],U14Mruns[[#This Row],[pts2.0120]])</f>
        <v>7</v>
      </c>
      <c r="F79" s="5">
        <f>MAX(U14Mruns[[#This Row],[pts1.0117]],U14Mruns[[#This Row],[pts2.0117]],U14Mruns[[#This Row],[pts0121]],U14Mruns[[#This Row],[pts1.0123]],U14Mruns[[#This Row],[pts2.0123]])</f>
        <v>19</v>
      </c>
      <c r="G79" s="5">
        <f>IFERROR(VLOOKUP(U14Mruns[[#This Row],[Card]],results0117[],4,FALSE),999)</f>
        <v>75</v>
      </c>
      <c r="H79" s="5">
        <f>VLOOKUP(U14Mruns[[#This Row],[pos1.0117]],pointstable[],2,FALSE)</f>
        <v>0</v>
      </c>
      <c r="I79" s="5">
        <f>IFERROR(VLOOKUP(U14Mruns[[#This Row],[Card]],results0117[],5,FALSE),999)</f>
        <v>82</v>
      </c>
      <c r="J79" s="5">
        <f>VLOOKUP(U14Mruns[[#This Row],[pos2.0117]],pointstable[],2,FALSE)</f>
        <v>0</v>
      </c>
      <c r="K79" s="5">
        <f>IFERROR(VLOOKUP(U14Mruns[[#This Row],[Card]],results0119[],4,FALSE),999)</f>
        <v>58</v>
      </c>
      <c r="L79" s="5">
        <f>VLOOKUP(U14Mruns[[#This Row],[pos1.0119]],pointstable[],2,FALSE)</f>
        <v>2</v>
      </c>
      <c r="M79" s="5">
        <f>IFERROR(VLOOKUP(U14Mruns[[#This Row],[Card]],results0119[],5,FALSE),999)</f>
        <v>75</v>
      </c>
      <c r="N79" s="5">
        <f>VLOOKUP(U14Mruns[[#This Row],[pos2.0119]],pointstable[],2,FALSE)</f>
        <v>0</v>
      </c>
      <c r="O79" s="5">
        <f>IFERROR(VLOOKUP(U14Mruns[[#This Row],[Card]],results0121[],3,FALSE),999)</f>
        <v>52</v>
      </c>
      <c r="P79" s="5">
        <f>VLOOKUP(U14Mruns[[#This Row],[pos0121]],pointstable[],2,FALSE)</f>
        <v>8</v>
      </c>
      <c r="Q79" s="5">
        <f>IFERROR(VLOOKUP(U14Mruns[[#This Row],[Card]],results0118[],4,FALSE),999)</f>
        <v>68</v>
      </c>
      <c r="R79" s="5">
        <f>VLOOKUP(U14Mruns[[#This Row],[pos1.0118]],pointstable[],2,FALSE)</f>
        <v>0</v>
      </c>
      <c r="S79" s="5">
        <f>IFERROR(VLOOKUP(U14Mruns[[#This Row],[Card]],results0118[],5,FALSE),999)</f>
        <v>53</v>
      </c>
      <c r="T79" s="5">
        <f>VLOOKUP(U14Mruns[[#This Row],[pos2.0118]],pointstable[],2,FALSE)</f>
        <v>7</v>
      </c>
      <c r="U79" s="5">
        <f>IFERROR(VLOOKUP(U14Mruns[[#This Row],[Card]],results0123[],4,FALSE),999)</f>
        <v>62</v>
      </c>
      <c r="V79" s="5">
        <f>VLOOKUP(U14Mruns[[#This Row],[pos1.0123]],pointstable[],2,FALSE)</f>
        <v>0</v>
      </c>
      <c r="W79" s="5">
        <f>IFERROR(VLOOKUP(U14Mruns[[#This Row],[Card]],results0123[],5,FALSE),999)</f>
        <v>41</v>
      </c>
      <c r="X79" s="5">
        <f>VLOOKUP(U14Mruns[[#This Row],[pos2.0123]],pointstable[],2,FALSE)</f>
        <v>19</v>
      </c>
      <c r="Y79" s="5">
        <f>IFERROR(VLOOKUP(U14Mruns[[#This Row],[Card]],results0120[],4,FALSE),999)</f>
        <v>999</v>
      </c>
      <c r="Z79" s="5">
        <f>VLOOKUP(U14Mruns[[#This Row],[pos1.0120]],pointstable[],2,FALSE)</f>
        <v>0</v>
      </c>
      <c r="AA79" s="5">
        <f>IFERROR(VLOOKUP(U14Mruns[[#This Row],[Card]],results0120[],5,FALSE),999)</f>
        <v>999</v>
      </c>
      <c r="AB79" s="5">
        <f>VLOOKUP(U14Mruns[[#This Row],[pos2.0120]],pointstable[],2,FALSE)</f>
        <v>0</v>
      </c>
    </row>
    <row r="80" spans="1:28" x14ac:dyDescent="0.25">
      <c r="A80">
        <v>80627</v>
      </c>
      <c r="B80" t="s">
        <v>222</v>
      </c>
      <c r="C80" t="s">
        <v>19</v>
      </c>
      <c r="D80">
        <v>5</v>
      </c>
      <c r="E80" s="5">
        <f>MAX(U14Mruns[[#This Row],[pts1.0119]],U14Mruns[[#This Row],[pts2.0119]],U14Mruns[[#This Row],[pts1.0118]],U14Mruns[[#This Row],[pts2.0118]],U14Mruns[[#This Row],[pts1.0120]],U14Mruns[[#This Row],[pts2.0120]])</f>
        <v>8</v>
      </c>
      <c r="F80" s="5">
        <f>MAX(U14Mruns[[#This Row],[pts1.0117]],U14Mruns[[#This Row],[pts2.0117]],U14Mruns[[#This Row],[pts0121]],U14Mruns[[#This Row],[pts1.0123]],U14Mruns[[#This Row],[pts2.0123]])</f>
        <v>7</v>
      </c>
      <c r="G80" s="5">
        <f>IFERROR(VLOOKUP(U14Mruns[[#This Row],[Card]],results0117[],4,FALSE),999)</f>
        <v>999</v>
      </c>
      <c r="H80" s="5">
        <f>VLOOKUP(U14Mruns[[#This Row],[pos1.0117]],pointstable[],2,FALSE)</f>
        <v>0</v>
      </c>
      <c r="I80" s="5">
        <f>IFERROR(VLOOKUP(U14Mruns[[#This Row],[Card]],results0117[],5,FALSE),999)</f>
        <v>62</v>
      </c>
      <c r="J80" s="5">
        <f>VLOOKUP(U14Mruns[[#This Row],[pos2.0117]],pointstable[],2,FALSE)</f>
        <v>0</v>
      </c>
      <c r="K80" s="5">
        <f>IFERROR(VLOOKUP(U14Mruns[[#This Row],[Card]],results0119[],4,FALSE),999)</f>
        <v>60</v>
      </c>
      <c r="L80" s="5">
        <f>VLOOKUP(U14Mruns[[#This Row],[pos1.0119]],pointstable[],2,FALSE)</f>
        <v>1</v>
      </c>
      <c r="M80" s="5">
        <f>IFERROR(VLOOKUP(U14Mruns[[#This Row],[Card]],results0119[],5,FALSE),999)</f>
        <v>80</v>
      </c>
      <c r="N80" s="5">
        <f>VLOOKUP(U14Mruns[[#This Row],[pos2.0119]],pointstable[],2,FALSE)</f>
        <v>0</v>
      </c>
      <c r="O80" s="5">
        <f>IFERROR(VLOOKUP(U14Mruns[[#This Row],[Card]],results0121[],3,FALSE),999)</f>
        <v>53</v>
      </c>
      <c r="P80" s="5">
        <f>VLOOKUP(U14Mruns[[#This Row],[pos0121]],pointstable[],2,FALSE)</f>
        <v>7</v>
      </c>
      <c r="Q80" s="5">
        <f>IFERROR(VLOOKUP(U14Mruns[[#This Row],[Card]],results0118[],4,FALSE),999)</f>
        <v>79</v>
      </c>
      <c r="R80" s="5">
        <f>VLOOKUP(U14Mruns[[#This Row],[pos1.0118]],pointstable[],2,FALSE)</f>
        <v>0</v>
      </c>
      <c r="S80" s="5">
        <f>IFERROR(VLOOKUP(U14Mruns[[#This Row],[Card]],results0118[],5,FALSE),999)</f>
        <v>999</v>
      </c>
      <c r="T80" s="5">
        <f>VLOOKUP(U14Mruns[[#This Row],[pos2.0118]],pointstable[],2,FALSE)</f>
        <v>0</v>
      </c>
      <c r="U80" s="5">
        <f>IFERROR(VLOOKUP(U14Mruns[[#This Row],[Card]],results0123[],4,FALSE),999)</f>
        <v>72</v>
      </c>
      <c r="V80" s="5">
        <f>VLOOKUP(U14Mruns[[#This Row],[pos1.0123]],pointstable[],2,FALSE)</f>
        <v>0</v>
      </c>
      <c r="W80" s="5">
        <f>IFERROR(VLOOKUP(U14Mruns[[#This Row],[Card]],results0123[],5,FALSE),999)</f>
        <v>65</v>
      </c>
      <c r="X80" s="5">
        <f>VLOOKUP(U14Mruns[[#This Row],[pos2.0123]],pointstable[],2,FALSE)</f>
        <v>0</v>
      </c>
      <c r="Y80" s="5">
        <f>IFERROR(VLOOKUP(U14Mruns[[#This Row],[Card]],results0120[],4,FALSE),999)</f>
        <v>999</v>
      </c>
      <c r="Z80" s="5">
        <f>VLOOKUP(U14Mruns[[#This Row],[pos1.0120]],pointstable[],2,FALSE)</f>
        <v>0</v>
      </c>
      <c r="AA80" s="5">
        <f>IFERROR(VLOOKUP(U14Mruns[[#This Row],[Card]],results0120[],5,FALSE),999)</f>
        <v>52</v>
      </c>
      <c r="AB80" s="5">
        <f>VLOOKUP(U14Mruns[[#This Row],[pos2.0120]],pointstable[],2,FALSE)</f>
        <v>8</v>
      </c>
    </row>
    <row r="81" spans="1:28" x14ac:dyDescent="0.25">
      <c r="A81">
        <v>81481</v>
      </c>
      <c r="B81" t="s">
        <v>182</v>
      </c>
      <c r="C81" t="s">
        <v>31</v>
      </c>
      <c r="D81">
        <v>4</v>
      </c>
      <c r="E81" s="5">
        <f>MAX(U14Mruns[[#This Row],[pts1.0119]],U14Mruns[[#This Row],[pts2.0119]],U14Mruns[[#This Row],[pts1.0118]],U14Mruns[[#This Row],[pts2.0118]],U14Mruns[[#This Row],[pts1.0120]],U14Mruns[[#This Row],[pts2.0120]])</f>
        <v>36</v>
      </c>
      <c r="F81" s="5">
        <f>MAX(U14Mruns[[#This Row],[pts1.0117]],U14Mruns[[#This Row],[pts2.0117]],U14Mruns[[#This Row],[pts0121]],U14Mruns[[#This Row],[pts1.0123]],U14Mruns[[#This Row],[pts2.0123]])</f>
        <v>41</v>
      </c>
      <c r="G81" s="5">
        <f>IFERROR(VLOOKUP(U14Mruns[[#This Row],[Card]],results0117[],4,FALSE),999)</f>
        <v>57</v>
      </c>
      <c r="H81" s="5">
        <f>VLOOKUP(U14Mruns[[#This Row],[pos1.0117]],pointstable[],2,FALSE)</f>
        <v>3</v>
      </c>
      <c r="I81" s="5">
        <f>IFERROR(VLOOKUP(U14Mruns[[#This Row],[Card]],results0117[],5,FALSE),999)</f>
        <v>55</v>
      </c>
      <c r="J81" s="5">
        <f>VLOOKUP(U14Mruns[[#This Row],[pos2.0117]],pointstable[],2,FALSE)</f>
        <v>5</v>
      </c>
      <c r="K81" s="5">
        <f>IFERROR(VLOOKUP(U14Mruns[[#This Row],[Card]],results0119[],4,FALSE),999)</f>
        <v>26</v>
      </c>
      <c r="L81" s="5">
        <f>VLOOKUP(U14Mruns[[#This Row],[pos1.0119]],pointstable[],2,FALSE)</f>
        <v>36</v>
      </c>
      <c r="M81" s="5">
        <f>IFERROR(VLOOKUP(U14Mruns[[#This Row],[Card]],results0119[],5,FALSE),999)</f>
        <v>48</v>
      </c>
      <c r="N81" s="5">
        <f>VLOOKUP(U14Mruns[[#This Row],[pos2.0119]],pointstable[],2,FALSE)</f>
        <v>12</v>
      </c>
      <c r="O81" s="5">
        <f>IFERROR(VLOOKUP(U14Mruns[[#This Row],[Card]],results0121[],3,FALSE),999)</f>
        <v>999</v>
      </c>
      <c r="P81" s="5">
        <f>VLOOKUP(U14Mruns[[#This Row],[pos0121]],pointstable[],2,FALSE)</f>
        <v>0</v>
      </c>
      <c r="Q81" s="5">
        <f>IFERROR(VLOOKUP(U14Mruns[[#This Row],[Card]],results0118[],4,FALSE),999)</f>
        <v>64</v>
      </c>
      <c r="R81" s="5">
        <f>VLOOKUP(U14Mruns[[#This Row],[pos1.0118]],pointstable[],2,FALSE)</f>
        <v>0</v>
      </c>
      <c r="S81" s="5">
        <f>IFERROR(VLOOKUP(U14Mruns[[#This Row],[Card]],results0118[],5,FALSE),999)</f>
        <v>50</v>
      </c>
      <c r="T81" s="5">
        <f>VLOOKUP(U14Mruns[[#This Row],[pos2.0118]],pointstable[],2,FALSE)</f>
        <v>10</v>
      </c>
      <c r="U81" s="5">
        <f>IFERROR(VLOOKUP(U14Mruns[[#This Row],[Card]],results0123[],4,FALSE),999)</f>
        <v>42</v>
      </c>
      <c r="V81" s="5">
        <f>VLOOKUP(U14Mruns[[#This Row],[pos1.0123]],pointstable[],2,FALSE)</f>
        <v>18</v>
      </c>
      <c r="W81" s="5">
        <f>IFERROR(VLOOKUP(U14Mruns[[#This Row],[Card]],results0123[],5,FALSE),999)</f>
        <v>24</v>
      </c>
      <c r="X81" s="5">
        <f>VLOOKUP(U14Mruns[[#This Row],[pos2.0123]],pointstable[],2,FALSE)</f>
        <v>41</v>
      </c>
      <c r="Y81" s="5">
        <f>IFERROR(VLOOKUP(U14Mruns[[#This Row],[Card]],results0120[],4,FALSE),999)</f>
        <v>999</v>
      </c>
      <c r="Z81" s="5">
        <f>VLOOKUP(U14Mruns[[#This Row],[pos1.0120]],pointstable[],2,FALSE)</f>
        <v>0</v>
      </c>
      <c r="AA81" s="5">
        <f>IFERROR(VLOOKUP(U14Mruns[[#This Row],[Card]],results0120[],5,FALSE),999)</f>
        <v>50</v>
      </c>
      <c r="AB81" s="5">
        <f>VLOOKUP(U14Mruns[[#This Row],[pos2.0120]],pointstable[],2,FALSE)</f>
        <v>10</v>
      </c>
    </row>
    <row r="82" spans="1:28" x14ac:dyDescent="0.25">
      <c r="A82">
        <v>85566</v>
      </c>
      <c r="B82" t="s">
        <v>150</v>
      </c>
      <c r="C82" t="s">
        <v>117</v>
      </c>
      <c r="D82">
        <v>5</v>
      </c>
      <c r="E82" s="5">
        <f>MAX(U14Mruns[[#This Row],[pts1.0119]],U14Mruns[[#This Row],[pts2.0119]],U14Mruns[[#This Row],[pts1.0118]],U14Mruns[[#This Row],[pts2.0118]],U14Mruns[[#This Row],[pts1.0120]],U14Mruns[[#This Row],[pts2.0120]])</f>
        <v>16</v>
      </c>
      <c r="F82" s="5">
        <f>MAX(U14Mruns[[#This Row],[pts1.0117]],U14Mruns[[#This Row],[pts2.0117]],U14Mruns[[#This Row],[pts0121]],U14Mruns[[#This Row],[pts1.0123]],U14Mruns[[#This Row],[pts2.0123]])</f>
        <v>5</v>
      </c>
      <c r="G82" s="5">
        <f>IFERROR(VLOOKUP(U14Mruns[[#This Row],[Card]],results0117[],4,FALSE),999)</f>
        <v>64</v>
      </c>
      <c r="H82" s="5">
        <f>VLOOKUP(U14Mruns[[#This Row],[pos1.0117]],pointstable[],2,FALSE)</f>
        <v>0</v>
      </c>
      <c r="I82" s="5">
        <f>IFERROR(VLOOKUP(U14Mruns[[#This Row],[Card]],results0117[],5,FALSE),999)</f>
        <v>78</v>
      </c>
      <c r="J82" s="5">
        <f>VLOOKUP(U14Mruns[[#This Row],[pos2.0117]],pointstable[],2,FALSE)</f>
        <v>0</v>
      </c>
      <c r="K82" s="5">
        <f>IFERROR(VLOOKUP(U14Mruns[[#This Row],[Card]],results0119[],4,FALSE),999)</f>
        <v>44</v>
      </c>
      <c r="L82" s="5">
        <f>VLOOKUP(U14Mruns[[#This Row],[pos1.0119]],pointstable[],2,FALSE)</f>
        <v>16</v>
      </c>
      <c r="M82" s="5">
        <f>IFERROR(VLOOKUP(U14Mruns[[#This Row],[Card]],results0119[],5,FALSE),999)</f>
        <v>999</v>
      </c>
      <c r="N82" s="5">
        <f>VLOOKUP(U14Mruns[[#This Row],[pos2.0119]],pointstable[],2,FALSE)</f>
        <v>0</v>
      </c>
      <c r="O82" s="5">
        <f>IFERROR(VLOOKUP(U14Mruns[[#This Row],[Card]],results0121[],3,FALSE),999)</f>
        <v>55</v>
      </c>
      <c r="P82" s="5">
        <f>VLOOKUP(U14Mruns[[#This Row],[pos0121]],pointstable[],2,FALSE)</f>
        <v>5</v>
      </c>
      <c r="Q82" s="5">
        <f>IFERROR(VLOOKUP(U14Mruns[[#This Row],[Card]],results0118[],4,FALSE),999)</f>
        <v>60</v>
      </c>
      <c r="R82" s="5">
        <f>VLOOKUP(U14Mruns[[#This Row],[pos1.0118]],pointstable[],2,FALSE)</f>
        <v>1</v>
      </c>
      <c r="S82" s="5">
        <f>IFERROR(VLOOKUP(U14Mruns[[#This Row],[Card]],results0118[],5,FALSE),999)</f>
        <v>76</v>
      </c>
      <c r="T82" s="5">
        <f>VLOOKUP(U14Mruns[[#This Row],[pos2.0118]],pointstable[],2,FALSE)</f>
        <v>0</v>
      </c>
      <c r="U82" s="5">
        <f>IFERROR(VLOOKUP(U14Mruns[[#This Row],[Card]],results0123[],4,FALSE),999)</f>
        <v>67</v>
      </c>
      <c r="V82" s="5">
        <f>VLOOKUP(U14Mruns[[#This Row],[pos1.0123]],pointstable[],2,FALSE)</f>
        <v>0</v>
      </c>
      <c r="W82" s="5">
        <f>IFERROR(VLOOKUP(U14Mruns[[#This Row],[Card]],results0123[],5,FALSE),999)</f>
        <v>77</v>
      </c>
      <c r="X82" s="5">
        <f>VLOOKUP(U14Mruns[[#This Row],[pos2.0123]],pointstable[],2,FALSE)</f>
        <v>0</v>
      </c>
      <c r="Y82" s="5">
        <f>IFERROR(VLOOKUP(U14Mruns[[#This Row],[Card]],results0120[],4,FALSE),999)</f>
        <v>999</v>
      </c>
      <c r="Z82" s="5">
        <f>VLOOKUP(U14Mruns[[#This Row],[pos1.0120]],pointstable[],2,FALSE)</f>
        <v>0</v>
      </c>
      <c r="AA82" s="5">
        <f>IFERROR(VLOOKUP(U14Mruns[[#This Row],[Card]],results0120[],5,FALSE),999)</f>
        <v>57</v>
      </c>
      <c r="AB82" s="5">
        <f>VLOOKUP(U14Mruns[[#This Row],[pos2.0120]],pointstable[],2,FALSE)</f>
        <v>3</v>
      </c>
    </row>
    <row r="83" spans="1:28" x14ac:dyDescent="0.25">
      <c r="A83">
        <v>84752</v>
      </c>
      <c r="B83" t="s">
        <v>140</v>
      </c>
      <c r="C83" t="s">
        <v>15</v>
      </c>
      <c r="D83">
        <v>5</v>
      </c>
      <c r="E83" s="5">
        <f>MAX(U14Mruns[[#This Row],[pts1.0119]],U14Mruns[[#This Row],[pts2.0119]],U14Mruns[[#This Row],[pts1.0118]],U14Mruns[[#This Row],[pts2.0118]],U14Mruns[[#This Row],[pts1.0120]],U14Mruns[[#This Row],[pts2.0120]])</f>
        <v>16</v>
      </c>
      <c r="F83" s="5">
        <f>MAX(U14Mruns[[#This Row],[pts1.0117]],U14Mruns[[#This Row],[pts2.0117]],U14Mruns[[#This Row],[pts0121]],U14Mruns[[#This Row],[pts1.0123]],U14Mruns[[#This Row],[pts2.0123]])</f>
        <v>5</v>
      </c>
      <c r="G83" s="5">
        <f>IFERROR(VLOOKUP(U14Mruns[[#This Row],[Card]],results0117[],4,FALSE),999)</f>
        <v>55</v>
      </c>
      <c r="H83" s="5">
        <f>VLOOKUP(U14Mruns[[#This Row],[pos1.0117]],pointstable[],2,FALSE)</f>
        <v>5</v>
      </c>
      <c r="I83" s="5">
        <f>IFERROR(VLOOKUP(U14Mruns[[#This Row],[Card]],results0117[],5,FALSE),999)</f>
        <v>58</v>
      </c>
      <c r="J83" s="5">
        <f>VLOOKUP(U14Mruns[[#This Row],[pos2.0117]],pointstable[],2,FALSE)</f>
        <v>2</v>
      </c>
      <c r="K83" s="5">
        <f>IFERROR(VLOOKUP(U14Mruns[[#This Row],[Card]],results0119[],4,FALSE),999)</f>
        <v>999</v>
      </c>
      <c r="L83" s="5">
        <f>VLOOKUP(U14Mruns[[#This Row],[pos1.0119]],pointstable[],2,FALSE)</f>
        <v>0</v>
      </c>
      <c r="M83" s="5">
        <f>IFERROR(VLOOKUP(U14Mruns[[#This Row],[Card]],results0119[],5,FALSE),999)</f>
        <v>53</v>
      </c>
      <c r="N83" s="5">
        <f>VLOOKUP(U14Mruns[[#This Row],[pos2.0119]],pointstable[],2,FALSE)</f>
        <v>7</v>
      </c>
      <c r="O83" s="5">
        <f>IFERROR(VLOOKUP(U14Mruns[[#This Row],[Card]],results0121[],3,FALSE),999)</f>
        <v>66</v>
      </c>
      <c r="P83" s="5">
        <f>VLOOKUP(U14Mruns[[#This Row],[pos0121]],pointstable[],2,FALSE)</f>
        <v>0</v>
      </c>
      <c r="Q83" s="5">
        <f>IFERROR(VLOOKUP(U14Mruns[[#This Row],[Card]],results0118[],4,FALSE),999)</f>
        <v>999</v>
      </c>
      <c r="R83" s="5">
        <f>VLOOKUP(U14Mruns[[#This Row],[pos1.0118]],pointstable[],2,FALSE)</f>
        <v>0</v>
      </c>
      <c r="S83" s="5">
        <f>IFERROR(VLOOKUP(U14Mruns[[#This Row],[Card]],results0118[],5,FALSE),999)</f>
        <v>71</v>
      </c>
      <c r="T83" s="5">
        <f>VLOOKUP(U14Mruns[[#This Row],[pos2.0118]],pointstable[],2,FALSE)</f>
        <v>0</v>
      </c>
      <c r="U83" s="5">
        <f>IFERROR(VLOOKUP(U14Mruns[[#This Row],[Card]],results0123[],4,FALSE),999)</f>
        <v>66</v>
      </c>
      <c r="V83" s="5">
        <f>VLOOKUP(U14Mruns[[#This Row],[pos1.0123]],pointstable[],2,FALSE)</f>
        <v>0</v>
      </c>
      <c r="W83" s="5">
        <f>IFERROR(VLOOKUP(U14Mruns[[#This Row],[Card]],results0123[],5,FALSE),999)</f>
        <v>67</v>
      </c>
      <c r="X83" s="5">
        <f>VLOOKUP(U14Mruns[[#This Row],[pos2.0123]],pointstable[],2,FALSE)</f>
        <v>0</v>
      </c>
      <c r="Y83" s="5">
        <f>IFERROR(VLOOKUP(U14Mruns[[#This Row],[Card]],results0120[],4,FALSE),999)</f>
        <v>44</v>
      </c>
      <c r="Z83" s="5">
        <f>VLOOKUP(U14Mruns[[#This Row],[pos1.0120]],pointstable[],2,FALSE)</f>
        <v>16</v>
      </c>
      <c r="AA83" s="5">
        <f>IFERROR(VLOOKUP(U14Mruns[[#This Row],[Card]],results0120[],5,FALSE),999)</f>
        <v>59</v>
      </c>
      <c r="AB83" s="5">
        <f>VLOOKUP(U14Mruns[[#This Row],[pos2.0120]],pointstable[],2,FALSE)</f>
        <v>1</v>
      </c>
    </row>
    <row r="84" spans="1:28" x14ac:dyDescent="0.25">
      <c r="A84">
        <v>82442</v>
      </c>
      <c r="B84" t="s">
        <v>204</v>
      </c>
      <c r="C84" t="s">
        <v>42</v>
      </c>
      <c r="D84">
        <v>5</v>
      </c>
      <c r="E84" s="5">
        <f>MAX(U14Mruns[[#This Row],[pts1.0119]],U14Mruns[[#This Row],[pts2.0119]],U14Mruns[[#This Row],[pts1.0118]],U14Mruns[[#This Row],[pts2.0118]],U14Mruns[[#This Row],[pts1.0120]],U14Mruns[[#This Row],[pts2.0120]])</f>
        <v>6</v>
      </c>
      <c r="F84" s="5">
        <f>MAX(U14Mruns[[#This Row],[pts1.0117]],U14Mruns[[#This Row],[pts2.0117]],U14Mruns[[#This Row],[pts0121]],U14Mruns[[#This Row],[pts1.0123]],U14Mruns[[#This Row],[pts2.0123]])</f>
        <v>4</v>
      </c>
      <c r="G84" s="5">
        <f>IFERROR(VLOOKUP(U14Mruns[[#This Row],[Card]],results0117[],4,FALSE),999)</f>
        <v>88</v>
      </c>
      <c r="H84" s="5">
        <f>VLOOKUP(U14Mruns[[#This Row],[pos1.0117]],pointstable[],2,FALSE)</f>
        <v>0</v>
      </c>
      <c r="I84" s="5">
        <f>IFERROR(VLOOKUP(U14Mruns[[#This Row],[Card]],results0117[],5,FALSE),999)</f>
        <v>79</v>
      </c>
      <c r="J84" s="5">
        <f>VLOOKUP(U14Mruns[[#This Row],[pos2.0117]],pointstable[],2,FALSE)</f>
        <v>0</v>
      </c>
      <c r="K84" s="5">
        <f>IFERROR(VLOOKUP(U14Mruns[[#This Row],[Card]],results0119[],4,FALSE),999)</f>
        <v>71</v>
      </c>
      <c r="L84" s="5">
        <f>VLOOKUP(U14Mruns[[#This Row],[pos1.0119]],pointstable[],2,FALSE)</f>
        <v>0</v>
      </c>
      <c r="M84" s="5">
        <f>IFERROR(VLOOKUP(U14Mruns[[#This Row],[Card]],results0119[],5,FALSE),999)</f>
        <v>88</v>
      </c>
      <c r="N84" s="5">
        <f>VLOOKUP(U14Mruns[[#This Row],[pos2.0119]],pointstable[],2,FALSE)</f>
        <v>0</v>
      </c>
      <c r="O84" s="5">
        <f>IFERROR(VLOOKUP(U14Mruns[[#This Row],[Card]],results0121[],3,FALSE),999)</f>
        <v>56</v>
      </c>
      <c r="P84" s="5">
        <f>VLOOKUP(U14Mruns[[#This Row],[pos0121]],pointstable[],2,FALSE)</f>
        <v>4</v>
      </c>
      <c r="Q84" s="5">
        <f>IFERROR(VLOOKUP(U14Mruns[[#This Row],[Card]],results0118[],4,FALSE),999)</f>
        <v>94</v>
      </c>
      <c r="R84" s="5">
        <f>VLOOKUP(U14Mruns[[#This Row],[pos1.0118]],pointstable[],2,FALSE)</f>
        <v>0</v>
      </c>
      <c r="S84" s="5">
        <f>IFERROR(VLOOKUP(U14Mruns[[#This Row],[Card]],results0118[],5,FALSE),999)</f>
        <v>87</v>
      </c>
      <c r="T84" s="5">
        <f>VLOOKUP(U14Mruns[[#This Row],[pos2.0118]],pointstable[],2,FALSE)</f>
        <v>0</v>
      </c>
      <c r="U84" s="5">
        <f>IFERROR(VLOOKUP(U14Mruns[[#This Row],[Card]],results0123[],4,FALSE),999)</f>
        <v>92</v>
      </c>
      <c r="V84" s="5">
        <f>VLOOKUP(U14Mruns[[#This Row],[pos1.0123]],pointstable[],2,FALSE)</f>
        <v>0</v>
      </c>
      <c r="W84" s="5">
        <f>IFERROR(VLOOKUP(U14Mruns[[#This Row],[Card]],results0123[],5,FALSE),999)</f>
        <v>81</v>
      </c>
      <c r="X84" s="5">
        <f>VLOOKUP(U14Mruns[[#This Row],[pos2.0123]],pointstable[],2,FALSE)</f>
        <v>0</v>
      </c>
      <c r="Y84" s="5">
        <f>IFERROR(VLOOKUP(U14Mruns[[#This Row],[Card]],results0120[],4,FALSE),999)</f>
        <v>54</v>
      </c>
      <c r="Z84" s="5">
        <f>VLOOKUP(U14Mruns[[#This Row],[pos1.0120]],pointstable[],2,FALSE)</f>
        <v>6</v>
      </c>
      <c r="AA84" s="5">
        <f>IFERROR(VLOOKUP(U14Mruns[[#This Row],[Card]],results0120[],5,FALSE),999)</f>
        <v>67</v>
      </c>
      <c r="AB84" s="5">
        <f>VLOOKUP(U14Mruns[[#This Row],[pos2.0120]],pointstable[],2,FALSE)</f>
        <v>0</v>
      </c>
    </row>
    <row r="85" spans="1:28" x14ac:dyDescent="0.25">
      <c r="A85">
        <v>80724</v>
      </c>
      <c r="B85" t="s">
        <v>167</v>
      </c>
      <c r="C85" t="s">
        <v>22</v>
      </c>
      <c r="D85">
        <v>4</v>
      </c>
      <c r="E85" s="5">
        <f>MAX(U14Mruns[[#This Row],[pts1.0119]],U14Mruns[[#This Row],[pts2.0119]],U14Mruns[[#This Row],[pts1.0118]],U14Mruns[[#This Row],[pts2.0118]],U14Mruns[[#This Row],[pts1.0120]],U14Mruns[[#This Row],[pts2.0120]])</f>
        <v>20</v>
      </c>
      <c r="F85" s="5">
        <f>MAX(U14Mruns[[#This Row],[pts1.0117]],U14Mruns[[#This Row],[pts2.0117]],U14Mruns[[#This Row],[pts0121]],U14Mruns[[#This Row],[pts1.0123]],U14Mruns[[#This Row],[pts2.0123]])</f>
        <v>17</v>
      </c>
      <c r="G85" s="5">
        <f>IFERROR(VLOOKUP(U14Mruns[[#This Row],[Card]],results0117[],4,FALSE),999)</f>
        <v>59</v>
      </c>
      <c r="H85" s="5">
        <f>VLOOKUP(U14Mruns[[#This Row],[pos1.0117]],pointstable[],2,FALSE)</f>
        <v>1</v>
      </c>
      <c r="I85" s="5">
        <f>IFERROR(VLOOKUP(U14Mruns[[#This Row],[Card]],results0117[],5,FALSE),999)</f>
        <v>57</v>
      </c>
      <c r="J85" s="5">
        <f>VLOOKUP(U14Mruns[[#This Row],[pos2.0117]],pointstable[],2,FALSE)</f>
        <v>3</v>
      </c>
      <c r="K85" s="5">
        <f>IFERROR(VLOOKUP(U14Mruns[[#This Row],[Card]],results0119[],4,FALSE),999)</f>
        <v>41</v>
      </c>
      <c r="L85" s="5">
        <f>VLOOKUP(U14Mruns[[#This Row],[pos1.0119]],pointstable[],2,FALSE)</f>
        <v>19</v>
      </c>
      <c r="M85" s="5">
        <f>IFERROR(VLOOKUP(U14Mruns[[#This Row],[Card]],results0119[],5,FALSE),999)</f>
        <v>76</v>
      </c>
      <c r="N85" s="5">
        <f>VLOOKUP(U14Mruns[[#This Row],[pos2.0119]],pointstable[],2,FALSE)</f>
        <v>0</v>
      </c>
      <c r="O85" s="5">
        <f>IFERROR(VLOOKUP(U14Mruns[[#This Row],[Card]],results0121[],3,FALSE),999)</f>
        <v>58</v>
      </c>
      <c r="P85" s="5">
        <f>VLOOKUP(U14Mruns[[#This Row],[pos0121]],pointstable[],2,FALSE)</f>
        <v>2</v>
      </c>
      <c r="Q85" s="5">
        <f>IFERROR(VLOOKUP(U14Mruns[[#This Row],[Card]],results0118[],4,FALSE),999)</f>
        <v>73</v>
      </c>
      <c r="R85" s="5">
        <f>VLOOKUP(U14Mruns[[#This Row],[pos1.0118]],pointstable[],2,FALSE)</f>
        <v>0</v>
      </c>
      <c r="S85" s="5">
        <f>IFERROR(VLOOKUP(U14Mruns[[#This Row],[Card]],results0118[],5,FALSE),999)</f>
        <v>60</v>
      </c>
      <c r="T85" s="5">
        <f>VLOOKUP(U14Mruns[[#This Row],[pos2.0118]],pointstable[],2,FALSE)</f>
        <v>1</v>
      </c>
      <c r="U85" s="5">
        <f>IFERROR(VLOOKUP(U14Mruns[[#This Row],[Card]],results0123[],4,FALSE),999)</f>
        <v>47</v>
      </c>
      <c r="V85" s="5">
        <f>VLOOKUP(U14Mruns[[#This Row],[pos1.0123]],pointstable[],2,FALSE)</f>
        <v>13</v>
      </c>
      <c r="W85" s="5">
        <f>IFERROR(VLOOKUP(U14Mruns[[#This Row],[Card]],results0123[],5,FALSE),999)</f>
        <v>43</v>
      </c>
      <c r="X85" s="5">
        <f>VLOOKUP(U14Mruns[[#This Row],[pos2.0123]],pointstable[],2,FALSE)</f>
        <v>17</v>
      </c>
      <c r="Y85" s="5">
        <f>IFERROR(VLOOKUP(U14Mruns[[#This Row],[Card]],results0120[],4,FALSE),999)</f>
        <v>40</v>
      </c>
      <c r="Z85" s="5">
        <f>VLOOKUP(U14Mruns[[#This Row],[pos1.0120]],pointstable[],2,FALSE)</f>
        <v>20</v>
      </c>
      <c r="AA85" s="5">
        <f>IFERROR(VLOOKUP(U14Mruns[[#This Row],[Card]],results0120[],5,FALSE),999)</f>
        <v>42</v>
      </c>
      <c r="AB85" s="5">
        <f>VLOOKUP(U14Mruns[[#This Row],[pos2.0120]],pointstable[],2,FALSE)</f>
        <v>18</v>
      </c>
    </row>
    <row r="86" spans="1:28" x14ac:dyDescent="0.25">
      <c r="A86">
        <v>80662</v>
      </c>
      <c r="B86" t="s">
        <v>158</v>
      </c>
      <c r="C86" t="s">
        <v>61</v>
      </c>
      <c r="D86">
        <v>4</v>
      </c>
      <c r="E86" s="5">
        <f>MAX(U14Mruns[[#This Row],[pts1.0119]],U14Mruns[[#This Row],[pts2.0119]],U14Mruns[[#This Row],[pts1.0118]],U14Mruns[[#This Row],[pts2.0118]],U14Mruns[[#This Row],[pts1.0120]],U14Mruns[[#This Row],[pts2.0120]])</f>
        <v>14</v>
      </c>
      <c r="F86" s="5">
        <f>MAX(U14Mruns[[#This Row],[pts1.0117]],U14Mruns[[#This Row],[pts2.0117]],U14Mruns[[#This Row],[pts0121]],U14Mruns[[#This Row],[pts1.0123]],U14Mruns[[#This Row],[pts2.0123]])</f>
        <v>1</v>
      </c>
      <c r="G86" s="5">
        <f>IFERROR(VLOOKUP(U14Mruns[[#This Row],[Card]],results0117[],4,FALSE),999)</f>
        <v>84</v>
      </c>
      <c r="H86" s="5">
        <f>VLOOKUP(U14Mruns[[#This Row],[pos1.0117]],pointstable[],2,FALSE)</f>
        <v>0</v>
      </c>
      <c r="I86" s="5">
        <f>IFERROR(VLOOKUP(U14Mruns[[#This Row],[Card]],results0117[],5,FALSE),999)</f>
        <v>87</v>
      </c>
      <c r="J86" s="5">
        <f>VLOOKUP(U14Mruns[[#This Row],[pos2.0117]],pointstable[],2,FALSE)</f>
        <v>0</v>
      </c>
      <c r="K86" s="5">
        <f>IFERROR(VLOOKUP(U14Mruns[[#This Row],[Card]],results0119[],4,FALSE),999)</f>
        <v>46</v>
      </c>
      <c r="L86" s="5">
        <f>VLOOKUP(U14Mruns[[#This Row],[pos1.0119]],pointstable[],2,FALSE)</f>
        <v>14</v>
      </c>
      <c r="M86" s="5">
        <f>IFERROR(VLOOKUP(U14Mruns[[#This Row],[Card]],results0119[],5,FALSE),999)</f>
        <v>55</v>
      </c>
      <c r="N86" s="5">
        <f>VLOOKUP(U14Mruns[[#This Row],[pos2.0119]],pointstable[],2,FALSE)</f>
        <v>5</v>
      </c>
      <c r="O86" s="5">
        <f>IFERROR(VLOOKUP(U14Mruns[[#This Row],[Card]],results0121[],3,FALSE),999)</f>
        <v>59</v>
      </c>
      <c r="P86" s="5">
        <f>VLOOKUP(U14Mruns[[#This Row],[pos0121]],pointstable[],2,FALSE)</f>
        <v>1</v>
      </c>
      <c r="Q86" s="5">
        <f>IFERROR(VLOOKUP(U14Mruns[[#This Row],[Card]],results0118[],4,FALSE),999)</f>
        <v>999</v>
      </c>
      <c r="R86" s="5">
        <f>VLOOKUP(U14Mruns[[#This Row],[pos1.0118]],pointstable[],2,FALSE)</f>
        <v>0</v>
      </c>
      <c r="S86" s="5">
        <f>IFERROR(VLOOKUP(U14Mruns[[#This Row],[Card]],results0118[],5,FALSE),999)</f>
        <v>999</v>
      </c>
      <c r="T86" s="5">
        <f>VLOOKUP(U14Mruns[[#This Row],[pos2.0118]],pointstable[],2,FALSE)</f>
        <v>0</v>
      </c>
      <c r="U86" s="5">
        <f>IFERROR(VLOOKUP(U14Mruns[[#This Row],[Card]],results0123[],4,FALSE),999)</f>
        <v>999</v>
      </c>
      <c r="V86" s="5">
        <f>VLOOKUP(U14Mruns[[#This Row],[pos1.0123]],pointstable[],2,FALSE)</f>
        <v>0</v>
      </c>
      <c r="W86" s="5">
        <f>IFERROR(VLOOKUP(U14Mruns[[#This Row],[Card]],results0123[],5,FALSE),999)</f>
        <v>999</v>
      </c>
      <c r="X86" s="5">
        <f>VLOOKUP(U14Mruns[[#This Row],[pos2.0123]],pointstable[],2,FALSE)</f>
        <v>0</v>
      </c>
      <c r="Y86" s="5">
        <f>IFERROR(VLOOKUP(U14Mruns[[#This Row],[Card]],results0120[],4,FALSE),999)</f>
        <v>999</v>
      </c>
      <c r="Z86" s="5">
        <f>VLOOKUP(U14Mruns[[#This Row],[pos1.0120]],pointstable[],2,FALSE)</f>
        <v>0</v>
      </c>
      <c r="AA86" s="5">
        <f>IFERROR(VLOOKUP(U14Mruns[[#This Row],[Card]],results0120[],5,FALSE),999)</f>
        <v>999</v>
      </c>
      <c r="AB86" s="5">
        <f>VLOOKUP(U14Mruns[[#This Row],[pos2.0120]],pointstable[],2,FALSE)</f>
        <v>0</v>
      </c>
    </row>
    <row r="87" spans="1:28" x14ac:dyDescent="0.25">
      <c r="A87">
        <v>79148</v>
      </c>
      <c r="B87" t="s">
        <v>191</v>
      </c>
      <c r="C87" t="s">
        <v>31</v>
      </c>
      <c r="D87">
        <v>4</v>
      </c>
      <c r="E87" s="5">
        <f>MAX(U14Mruns[[#This Row],[pts1.0119]],U14Mruns[[#This Row],[pts2.0119]],U14Mruns[[#This Row],[pts1.0118]],U14Mruns[[#This Row],[pts2.0118]],U14Mruns[[#This Row],[pts1.0120]],U14Mruns[[#This Row],[pts2.0120]])</f>
        <v>13</v>
      </c>
      <c r="F87" s="5">
        <f>MAX(U14Mruns[[#This Row],[pts1.0117]],U14Mruns[[#This Row],[pts2.0117]],U14Mruns[[#This Row],[pts0121]],U14Mruns[[#This Row],[pts1.0123]],U14Mruns[[#This Row],[pts2.0123]])</f>
        <v>1</v>
      </c>
      <c r="G87" s="5">
        <f>IFERROR(VLOOKUP(U14Mruns[[#This Row],[Card]],results0117[],4,FALSE),999)</f>
        <v>62</v>
      </c>
      <c r="H87" s="5">
        <f>VLOOKUP(U14Mruns[[#This Row],[pos1.0117]],pointstable[],2,FALSE)</f>
        <v>0</v>
      </c>
      <c r="I87" s="5">
        <f>IFERROR(VLOOKUP(U14Mruns[[#This Row],[Card]],results0117[],5,FALSE),999)</f>
        <v>59</v>
      </c>
      <c r="J87" s="5">
        <f>VLOOKUP(U14Mruns[[#This Row],[pos2.0117]],pointstable[],2,FALSE)</f>
        <v>1</v>
      </c>
      <c r="K87" s="5">
        <f>IFERROR(VLOOKUP(U14Mruns[[#This Row],[Card]],results0119[],4,FALSE),999)</f>
        <v>50</v>
      </c>
      <c r="L87" s="5">
        <f>VLOOKUP(U14Mruns[[#This Row],[pos1.0119]],pointstable[],2,FALSE)</f>
        <v>10</v>
      </c>
      <c r="M87" s="5">
        <f>IFERROR(VLOOKUP(U14Mruns[[#This Row],[Card]],results0119[],5,FALSE),999)</f>
        <v>63</v>
      </c>
      <c r="N87" s="5">
        <f>VLOOKUP(U14Mruns[[#This Row],[pos2.0119]],pointstable[],2,FALSE)</f>
        <v>0</v>
      </c>
      <c r="O87" s="5">
        <f>IFERROR(VLOOKUP(U14Mruns[[#This Row],[Card]],results0121[],3,FALSE),999)</f>
        <v>999</v>
      </c>
      <c r="P87" s="5">
        <f>VLOOKUP(U14Mruns[[#This Row],[pos0121]],pointstable[],2,FALSE)</f>
        <v>0</v>
      </c>
      <c r="Q87" s="5">
        <f>IFERROR(VLOOKUP(U14Mruns[[#This Row],[Card]],results0118[],4,FALSE),999)</f>
        <v>88</v>
      </c>
      <c r="R87" s="5">
        <f>VLOOKUP(U14Mruns[[#This Row],[pos1.0118]],pointstable[],2,FALSE)</f>
        <v>0</v>
      </c>
      <c r="S87" s="5">
        <f>IFERROR(VLOOKUP(U14Mruns[[#This Row],[Card]],results0118[],5,FALSE),999)</f>
        <v>66</v>
      </c>
      <c r="T87" s="5">
        <f>VLOOKUP(U14Mruns[[#This Row],[pos2.0118]],pointstable[],2,FALSE)</f>
        <v>0</v>
      </c>
      <c r="U87" s="5">
        <f>IFERROR(VLOOKUP(U14Mruns[[#This Row],[Card]],results0123[],4,FALSE),999)</f>
        <v>75</v>
      </c>
      <c r="V87" s="5">
        <f>VLOOKUP(U14Mruns[[#This Row],[pos1.0123]],pointstable[],2,FALSE)</f>
        <v>0</v>
      </c>
      <c r="W87" s="5">
        <f>IFERROR(VLOOKUP(U14Mruns[[#This Row],[Card]],results0123[],5,FALSE),999)</f>
        <v>60</v>
      </c>
      <c r="X87" s="5">
        <f>VLOOKUP(U14Mruns[[#This Row],[pos2.0123]],pointstable[],2,FALSE)</f>
        <v>1</v>
      </c>
      <c r="Y87" s="5">
        <f>IFERROR(VLOOKUP(U14Mruns[[#This Row],[Card]],results0120[],4,FALSE),999)</f>
        <v>53</v>
      </c>
      <c r="Z87" s="5">
        <f>VLOOKUP(U14Mruns[[#This Row],[pos1.0120]],pointstable[],2,FALSE)</f>
        <v>7</v>
      </c>
      <c r="AA87" s="5">
        <f>IFERROR(VLOOKUP(U14Mruns[[#This Row],[Card]],results0120[],5,FALSE),999)</f>
        <v>47</v>
      </c>
      <c r="AB87" s="5">
        <f>VLOOKUP(U14Mruns[[#This Row],[pos2.0120]],pointstable[],2,FALSE)</f>
        <v>13</v>
      </c>
    </row>
    <row r="88" spans="1:28" x14ac:dyDescent="0.25">
      <c r="A88">
        <v>78178</v>
      </c>
      <c r="B88" t="s">
        <v>194</v>
      </c>
      <c r="C88" t="s">
        <v>61</v>
      </c>
      <c r="D88">
        <v>4</v>
      </c>
      <c r="E88" s="5">
        <f>MAX(U14Mruns[[#This Row],[pts1.0119]],U14Mruns[[#This Row],[pts2.0119]],U14Mruns[[#This Row],[pts1.0118]],U14Mruns[[#This Row],[pts2.0118]],U14Mruns[[#This Row],[pts1.0120]],U14Mruns[[#This Row],[pts2.0120]])</f>
        <v>15</v>
      </c>
      <c r="F88" s="5">
        <f>MAX(U14Mruns[[#This Row],[pts1.0117]],U14Mruns[[#This Row],[pts2.0117]],U14Mruns[[#This Row],[pts0121]],U14Mruns[[#This Row],[pts1.0123]],U14Mruns[[#This Row],[pts2.0123]])</f>
        <v>1</v>
      </c>
      <c r="G88" s="5">
        <f>IFERROR(VLOOKUP(U14Mruns[[#This Row],[Card]],results0117[],4,FALSE),999)</f>
        <v>60</v>
      </c>
      <c r="H88" s="5">
        <f>VLOOKUP(U14Mruns[[#This Row],[pos1.0117]],pointstable[],2,FALSE)</f>
        <v>1</v>
      </c>
      <c r="I88" s="5">
        <f>IFERROR(VLOOKUP(U14Mruns[[#This Row],[Card]],results0117[],5,FALSE),999)</f>
        <v>999</v>
      </c>
      <c r="J88" s="5">
        <f>VLOOKUP(U14Mruns[[#This Row],[pos2.0117]],pointstable[],2,FALSE)</f>
        <v>0</v>
      </c>
      <c r="K88" s="5">
        <f>IFERROR(VLOOKUP(U14Mruns[[#This Row],[Card]],results0119[],4,FALSE),999)</f>
        <v>999</v>
      </c>
      <c r="L88" s="5">
        <f>VLOOKUP(U14Mruns[[#This Row],[pos1.0119]],pointstable[],2,FALSE)</f>
        <v>0</v>
      </c>
      <c r="M88" s="5">
        <f>IFERROR(VLOOKUP(U14Mruns[[#This Row],[Card]],results0119[],5,FALSE),999)</f>
        <v>65</v>
      </c>
      <c r="N88" s="5">
        <f>VLOOKUP(U14Mruns[[#This Row],[pos2.0119]],pointstable[],2,FALSE)</f>
        <v>0</v>
      </c>
      <c r="O88" s="5">
        <f>IFERROR(VLOOKUP(U14Mruns[[#This Row],[Card]],results0121[],3,FALSE),999)</f>
        <v>61</v>
      </c>
      <c r="P88" s="5">
        <f>VLOOKUP(U14Mruns[[#This Row],[pos0121]],pointstable[],2,FALSE)</f>
        <v>0</v>
      </c>
      <c r="Q88" s="5">
        <f>IFERROR(VLOOKUP(U14Mruns[[#This Row],[Card]],results0118[],4,FALSE),999)</f>
        <v>55</v>
      </c>
      <c r="R88" s="5">
        <f>VLOOKUP(U14Mruns[[#This Row],[pos1.0118]],pointstable[],2,FALSE)</f>
        <v>5</v>
      </c>
      <c r="S88" s="5">
        <f>IFERROR(VLOOKUP(U14Mruns[[#This Row],[Card]],results0118[],5,FALSE),999)</f>
        <v>57</v>
      </c>
      <c r="T88" s="5">
        <f>VLOOKUP(U14Mruns[[#This Row],[pos2.0118]],pointstable[],2,FALSE)</f>
        <v>3</v>
      </c>
      <c r="U88" s="5">
        <f>IFERROR(VLOOKUP(U14Mruns[[#This Row],[Card]],results0123[],4,FALSE),999)</f>
        <v>69</v>
      </c>
      <c r="V88" s="5">
        <f>VLOOKUP(U14Mruns[[#This Row],[pos1.0123]],pointstable[],2,FALSE)</f>
        <v>0</v>
      </c>
      <c r="W88" s="5">
        <f>IFERROR(VLOOKUP(U14Mruns[[#This Row],[Card]],results0123[],5,FALSE),999)</f>
        <v>61</v>
      </c>
      <c r="X88" s="5">
        <f>VLOOKUP(U14Mruns[[#This Row],[pos2.0123]],pointstable[],2,FALSE)</f>
        <v>0</v>
      </c>
      <c r="Y88" s="5">
        <f>IFERROR(VLOOKUP(U14Mruns[[#This Row],[Card]],results0120[],4,FALSE),999)</f>
        <v>45</v>
      </c>
      <c r="Z88" s="5">
        <f>VLOOKUP(U14Mruns[[#This Row],[pos1.0120]],pointstable[],2,FALSE)</f>
        <v>15</v>
      </c>
      <c r="AA88" s="5">
        <f>IFERROR(VLOOKUP(U14Mruns[[#This Row],[Card]],results0120[],5,FALSE),999)</f>
        <v>49</v>
      </c>
      <c r="AB88" s="5">
        <f>VLOOKUP(U14Mruns[[#This Row],[pos2.0120]],pointstable[],2,FALSE)</f>
        <v>11</v>
      </c>
    </row>
    <row r="89" spans="1:28" x14ac:dyDescent="0.25">
      <c r="A89">
        <v>78181</v>
      </c>
      <c r="B89" t="s">
        <v>138</v>
      </c>
      <c r="C89" t="s">
        <v>61</v>
      </c>
      <c r="D89">
        <v>4</v>
      </c>
      <c r="E89" s="5">
        <f>MAX(U14Mruns[[#This Row],[pts1.0119]],U14Mruns[[#This Row],[pts2.0119]],U14Mruns[[#This Row],[pts1.0118]],U14Mruns[[#This Row],[pts2.0118]],U14Mruns[[#This Row],[pts1.0120]],U14Mruns[[#This Row],[pts2.0120]])</f>
        <v>23</v>
      </c>
      <c r="F89" s="5">
        <f>MAX(U14Mruns[[#This Row],[pts1.0117]],U14Mruns[[#This Row],[pts2.0117]],U14Mruns[[#This Row],[pts0121]],U14Mruns[[#This Row],[pts1.0123]],U14Mruns[[#This Row],[pts2.0123]])</f>
        <v>13</v>
      </c>
      <c r="G89" s="5">
        <f>IFERROR(VLOOKUP(U14Mruns[[#This Row],[Card]],results0117[],4,FALSE),999)</f>
        <v>67</v>
      </c>
      <c r="H89" s="5">
        <f>VLOOKUP(U14Mruns[[#This Row],[pos1.0117]],pointstable[],2,FALSE)</f>
        <v>0</v>
      </c>
      <c r="I89" s="5">
        <f>IFERROR(VLOOKUP(U14Mruns[[#This Row],[Card]],results0117[],5,FALSE),999)</f>
        <v>63</v>
      </c>
      <c r="J89" s="5">
        <f>VLOOKUP(U14Mruns[[#This Row],[pos2.0117]],pointstable[],2,FALSE)</f>
        <v>0</v>
      </c>
      <c r="K89" s="5">
        <f>IFERROR(VLOOKUP(U14Mruns[[#This Row],[Card]],results0119[],4,FALSE),999)</f>
        <v>999</v>
      </c>
      <c r="L89" s="5">
        <f>VLOOKUP(U14Mruns[[#This Row],[pos1.0119]],pointstable[],2,FALSE)</f>
        <v>0</v>
      </c>
      <c r="M89" s="5">
        <f>IFERROR(VLOOKUP(U14Mruns[[#This Row],[Card]],results0119[],5,FALSE),999)</f>
        <v>73</v>
      </c>
      <c r="N89" s="5">
        <f>VLOOKUP(U14Mruns[[#This Row],[pos2.0119]],pointstable[],2,FALSE)</f>
        <v>0</v>
      </c>
      <c r="O89" s="5">
        <f>IFERROR(VLOOKUP(U14Mruns[[#This Row],[Card]],results0121[],3,FALSE),999)</f>
        <v>60</v>
      </c>
      <c r="P89" s="5">
        <f>VLOOKUP(U14Mruns[[#This Row],[pos0121]],pointstable[],2,FALSE)</f>
        <v>1</v>
      </c>
      <c r="Q89" s="5">
        <f>IFERROR(VLOOKUP(U14Mruns[[#This Row],[Card]],results0118[],4,FALSE),999)</f>
        <v>76</v>
      </c>
      <c r="R89" s="5">
        <f>VLOOKUP(U14Mruns[[#This Row],[pos1.0118]],pointstable[],2,FALSE)</f>
        <v>0</v>
      </c>
      <c r="S89" s="5">
        <f>IFERROR(VLOOKUP(U14Mruns[[#This Row],[Card]],results0118[],5,FALSE),999)</f>
        <v>69</v>
      </c>
      <c r="T89" s="5">
        <f>VLOOKUP(U14Mruns[[#This Row],[pos2.0118]],pointstable[],2,FALSE)</f>
        <v>0</v>
      </c>
      <c r="U89" s="5">
        <f>IFERROR(VLOOKUP(U14Mruns[[#This Row],[Card]],results0123[],4,FALSE),999)</f>
        <v>65</v>
      </c>
      <c r="V89" s="5">
        <f>VLOOKUP(U14Mruns[[#This Row],[pos1.0123]],pointstable[],2,FALSE)</f>
        <v>0</v>
      </c>
      <c r="W89" s="5">
        <f>IFERROR(VLOOKUP(U14Mruns[[#This Row],[Card]],results0123[],5,FALSE),999)</f>
        <v>47</v>
      </c>
      <c r="X89" s="5">
        <f>VLOOKUP(U14Mruns[[#This Row],[pos2.0123]],pointstable[],2,FALSE)</f>
        <v>13</v>
      </c>
      <c r="Y89" s="5">
        <f>IFERROR(VLOOKUP(U14Mruns[[#This Row],[Card]],results0120[],4,FALSE),999)</f>
        <v>37</v>
      </c>
      <c r="Z89" s="5">
        <f>VLOOKUP(U14Mruns[[#This Row],[pos1.0120]],pointstable[],2,FALSE)</f>
        <v>23</v>
      </c>
      <c r="AA89" s="5">
        <f>IFERROR(VLOOKUP(U14Mruns[[#This Row],[Card]],results0120[],5,FALSE),999)</f>
        <v>40</v>
      </c>
      <c r="AB89" s="5">
        <f>VLOOKUP(U14Mruns[[#This Row],[pos2.0120]],pointstable[],2,FALSE)</f>
        <v>20</v>
      </c>
    </row>
    <row r="90" spans="1:28" x14ac:dyDescent="0.25">
      <c r="A90">
        <v>81459</v>
      </c>
      <c r="B90" t="s">
        <v>225</v>
      </c>
      <c r="C90" t="s">
        <v>101</v>
      </c>
      <c r="D90">
        <v>5</v>
      </c>
      <c r="E90" s="5">
        <f>MAX(U14Mruns[[#This Row],[pts1.0119]],U14Mruns[[#This Row],[pts2.0119]],U14Mruns[[#This Row],[pts1.0118]],U14Mruns[[#This Row],[pts2.0118]],U14Mruns[[#This Row],[pts1.0120]],U14Mruns[[#This Row],[pts2.0120]])</f>
        <v>41</v>
      </c>
      <c r="F90" s="5">
        <f>MAX(U14Mruns[[#This Row],[pts1.0117]],U14Mruns[[#This Row],[pts2.0117]],U14Mruns[[#This Row],[pts0121]],U14Mruns[[#This Row],[pts1.0123]],U14Mruns[[#This Row],[pts2.0123]])</f>
        <v>25</v>
      </c>
      <c r="G90" s="5">
        <f>IFERROR(VLOOKUP(U14Mruns[[#This Row],[Card]],results0117[],4,FALSE),999)</f>
        <v>999</v>
      </c>
      <c r="H90" s="5">
        <f>VLOOKUP(U14Mruns[[#This Row],[pos1.0117]],pointstable[],2,FALSE)</f>
        <v>0</v>
      </c>
      <c r="I90" s="5">
        <f>IFERROR(VLOOKUP(U14Mruns[[#This Row],[Card]],results0117[],5,FALSE),999)</f>
        <v>999</v>
      </c>
      <c r="J90" s="5">
        <f>VLOOKUP(U14Mruns[[#This Row],[pos2.0117]],pointstable[],2,FALSE)</f>
        <v>0</v>
      </c>
      <c r="K90" s="5">
        <f>IFERROR(VLOOKUP(U14Mruns[[#This Row],[Card]],results0119[],4,FALSE),999)</f>
        <v>999</v>
      </c>
      <c r="L90" s="5">
        <f>VLOOKUP(U14Mruns[[#This Row],[pos1.0119]],pointstable[],2,FALSE)</f>
        <v>0</v>
      </c>
      <c r="M90" s="5">
        <f>IFERROR(VLOOKUP(U14Mruns[[#This Row],[Card]],results0119[],5,FALSE),999)</f>
        <v>999</v>
      </c>
      <c r="N90" s="5">
        <f>VLOOKUP(U14Mruns[[#This Row],[pos2.0119]],pointstable[],2,FALSE)</f>
        <v>0</v>
      </c>
      <c r="O90" s="5">
        <f>IFERROR(VLOOKUP(U14Mruns[[#This Row],[Card]],results0121[],3,FALSE),999)</f>
        <v>999</v>
      </c>
      <c r="P90" s="5">
        <f>VLOOKUP(U14Mruns[[#This Row],[pos0121]],pointstable[],2,FALSE)</f>
        <v>0</v>
      </c>
      <c r="Q90" s="5">
        <f>IFERROR(VLOOKUP(U14Mruns[[#This Row],[Card]],results0118[],4,FALSE),999)</f>
        <v>32</v>
      </c>
      <c r="R90" s="5">
        <f>VLOOKUP(U14Mruns[[#This Row],[pos1.0118]],pointstable[],2,FALSE)</f>
        <v>28</v>
      </c>
      <c r="S90" s="5">
        <f>IFERROR(VLOOKUP(U14Mruns[[#This Row],[Card]],results0118[],5,FALSE),999)</f>
        <v>999</v>
      </c>
      <c r="T90" s="5">
        <f>VLOOKUP(U14Mruns[[#This Row],[pos2.0118]],pointstable[],2,FALSE)</f>
        <v>0</v>
      </c>
      <c r="U90" s="5">
        <f>IFERROR(VLOOKUP(U14Mruns[[#This Row],[Card]],results0123[],4,FALSE),999)</f>
        <v>35</v>
      </c>
      <c r="V90" s="5">
        <f>VLOOKUP(U14Mruns[[#This Row],[pos1.0123]],pointstable[],2,FALSE)</f>
        <v>25</v>
      </c>
      <c r="W90" s="5">
        <f>IFERROR(VLOOKUP(U14Mruns[[#This Row],[Card]],results0123[],5,FALSE),999)</f>
        <v>42</v>
      </c>
      <c r="X90" s="5">
        <f>VLOOKUP(U14Mruns[[#This Row],[pos2.0123]],pointstable[],2,FALSE)</f>
        <v>18</v>
      </c>
      <c r="Y90" s="5">
        <f>IFERROR(VLOOKUP(U14Mruns[[#This Row],[Card]],results0120[],4,FALSE),999)</f>
        <v>31</v>
      </c>
      <c r="Z90" s="5">
        <f>VLOOKUP(U14Mruns[[#This Row],[pos1.0120]],pointstable[],2,FALSE)</f>
        <v>29</v>
      </c>
      <c r="AA90" s="5">
        <f>IFERROR(VLOOKUP(U14Mruns[[#This Row],[Card]],results0120[],5,FALSE),999)</f>
        <v>24</v>
      </c>
      <c r="AB90" s="5">
        <f>VLOOKUP(U14Mruns[[#This Row],[pos2.0120]],pointstable[],2,FALSE)</f>
        <v>41</v>
      </c>
    </row>
    <row r="91" spans="1:28" x14ac:dyDescent="0.25">
      <c r="A91">
        <v>80615</v>
      </c>
      <c r="B91" s="5" t="s">
        <v>292</v>
      </c>
      <c r="C91" s="5" t="s">
        <v>19</v>
      </c>
      <c r="D91">
        <v>4</v>
      </c>
      <c r="E91" s="5">
        <f>MAX(U14Mruns[[#This Row],[pts1.0119]],U14Mruns[[#This Row],[pts2.0119]],U14Mruns[[#This Row],[pts1.0118]],U14Mruns[[#This Row],[pts2.0118]],U14Mruns[[#This Row],[pts1.0120]],U14Mruns[[#This Row],[pts2.0120]])</f>
        <v>23</v>
      </c>
      <c r="F91" s="5">
        <f>MAX(U14Mruns[[#This Row],[pts1.0117]],U14Mruns[[#This Row],[pts2.0117]],U14Mruns[[#This Row],[pts0121]],U14Mruns[[#This Row],[pts1.0123]],U14Mruns[[#This Row],[pts2.0123]])</f>
        <v>5</v>
      </c>
      <c r="G91" s="5">
        <f>IFERROR(VLOOKUP(U14Mruns[[#This Row],[Card]],results0117[],4,FALSE),999)</f>
        <v>63</v>
      </c>
      <c r="H91" s="5">
        <f>VLOOKUP(U14Mruns[[#This Row],[pos1.0117]],pointstable[],2,FALSE)</f>
        <v>0</v>
      </c>
      <c r="I91" s="5">
        <f>IFERROR(VLOOKUP(U14Mruns[[#This Row],[Card]],results0117[],5,FALSE),999)</f>
        <v>72</v>
      </c>
      <c r="J91" s="5">
        <f>VLOOKUP(U14Mruns[[#This Row],[pos2.0117]],pointstable[],2,FALSE)</f>
        <v>0</v>
      </c>
      <c r="K91" s="5">
        <f>IFERROR(VLOOKUP(U14Mruns[[#This Row],[Card]],results0119[],4,FALSE),999)</f>
        <v>37</v>
      </c>
      <c r="L91" s="5">
        <f>VLOOKUP(U14Mruns[[#This Row],[pos1.0119]],pointstable[],2,FALSE)</f>
        <v>23</v>
      </c>
      <c r="M91" s="5">
        <f>IFERROR(VLOOKUP(U14Mruns[[#This Row],[Card]],results0119[],5,FALSE),999)</f>
        <v>999</v>
      </c>
      <c r="N91" s="5">
        <f>VLOOKUP(U14Mruns[[#This Row],[pos2.0119]],pointstable[],2,FALSE)</f>
        <v>0</v>
      </c>
      <c r="O91" s="5">
        <f>IFERROR(VLOOKUP(U14Mruns[[#This Row],[Card]],results0121[],3,FALSE),999)</f>
        <v>62</v>
      </c>
      <c r="P91" s="5">
        <f>VLOOKUP(U14Mruns[[#This Row],[pos0121]],pointstable[],2,FALSE)</f>
        <v>0</v>
      </c>
      <c r="Q91" s="5">
        <f>IFERROR(VLOOKUP(U14Mruns[[#This Row],[Card]],results0118[],4,FALSE),999)</f>
        <v>61</v>
      </c>
      <c r="R91" s="5">
        <f>VLOOKUP(U14Mruns[[#This Row],[pos1.0118]],pointstable[],2,FALSE)</f>
        <v>0</v>
      </c>
      <c r="S91" s="5">
        <f>IFERROR(VLOOKUP(U14Mruns[[#This Row],[Card]],results0118[],5,FALSE),999)</f>
        <v>65</v>
      </c>
      <c r="T91" s="5">
        <f>VLOOKUP(U14Mruns[[#This Row],[pos2.0118]],pointstable[],2,FALSE)</f>
        <v>0</v>
      </c>
      <c r="U91" s="5">
        <f>IFERROR(VLOOKUP(U14Mruns[[#This Row],[Card]],results0123[],4,FALSE),999)</f>
        <v>58</v>
      </c>
      <c r="V91" s="5">
        <f>VLOOKUP(U14Mruns[[#This Row],[pos1.0123]],pointstable[],2,FALSE)</f>
        <v>2</v>
      </c>
      <c r="W91" s="5">
        <f>IFERROR(VLOOKUP(U14Mruns[[#This Row],[Card]],results0123[],5,FALSE),999)</f>
        <v>55</v>
      </c>
      <c r="X91" s="5">
        <f>VLOOKUP(U14Mruns[[#This Row],[pos2.0123]],pointstable[],2,FALSE)</f>
        <v>5</v>
      </c>
      <c r="Y91" s="5">
        <f>IFERROR(VLOOKUP(U14Mruns[[#This Row],[Card]],results0120[],4,FALSE),999)</f>
        <v>62</v>
      </c>
      <c r="Z91" s="5">
        <f>VLOOKUP(U14Mruns[[#This Row],[pos1.0120]],pointstable[],2,FALSE)</f>
        <v>0</v>
      </c>
      <c r="AA91" s="5">
        <f>IFERROR(VLOOKUP(U14Mruns[[#This Row],[Card]],results0120[],5,FALSE),999)</f>
        <v>999</v>
      </c>
      <c r="AB91" s="5">
        <f>VLOOKUP(U14Mruns[[#This Row],[pos2.0120]],pointstable[],2,FALSE)</f>
        <v>0</v>
      </c>
    </row>
    <row r="92" spans="1:28" x14ac:dyDescent="0.25">
      <c r="A92" s="22">
        <v>81810</v>
      </c>
      <c r="B92" s="24" t="s">
        <v>329</v>
      </c>
      <c r="C92" s="24" t="s">
        <v>54</v>
      </c>
      <c r="D92" s="24">
        <v>4</v>
      </c>
      <c r="E92" s="5">
        <f>MAX(U14Mruns[[#This Row],[pts1.0119]],U14Mruns[[#This Row],[pts2.0119]],U14Mruns[[#This Row],[pts1.0118]],U14Mruns[[#This Row],[pts2.0118]],U14Mruns[[#This Row],[pts1.0120]],U14Mruns[[#This Row],[pts2.0120]])</f>
        <v>20</v>
      </c>
      <c r="F92" s="5">
        <f>MAX(U14Mruns[[#This Row],[pts1.0117]],U14Mruns[[#This Row],[pts2.0117]],U14Mruns[[#This Row],[pts0121]],U14Mruns[[#This Row],[pts1.0123]],U14Mruns[[#This Row],[pts2.0123]])</f>
        <v>3</v>
      </c>
      <c r="G92" s="5">
        <f>IFERROR(VLOOKUP(U14Mruns[[#This Row],[Card]],results0117[],4,FALSE),999)</f>
        <v>999</v>
      </c>
      <c r="H92" s="5">
        <f>VLOOKUP(U14Mruns[[#This Row],[pos1.0117]],pointstable[],2,FALSE)</f>
        <v>0</v>
      </c>
      <c r="I92" s="5">
        <f>IFERROR(VLOOKUP(U14Mruns[[#This Row],[Card]],results0117[],5,FALSE),999)</f>
        <v>999</v>
      </c>
      <c r="J92" s="5">
        <f>VLOOKUP(U14Mruns[[#This Row],[pos2.0117]],pointstable[],2,FALSE)</f>
        <v>0</v>
      </c>
      <c r="K92" s="5">
        <f>IFERROR(VLOOKUP(U14Mruns[[#This Row],[Card]],results0119[],4,FALSE),999)</f>
        <v>45</v>
      </c>
      <c r="L92" s="5">
        <f>VLOOKUP(U14Mruns[[#This Row],[pos1.0119]],pointstable[],2,FALSE)</f>
        <v>15</v>
      </c>
      <c r="M92" s="5">
        <f>IFERROR(VLOOKUP(U14Mruns[[#This Row],[Card]],results0119[],5,FALSE),999)</f>
        <v>68</v>
      </c>
      <c r="N92" s="5">
        <f>VLOOKUP(U14Mruns[[#This Row],[pos2.0119]],pointstable[],2,FALSE)</f>
        <v>0</v>
      </c>
      <c r="O92" s="5">
        <f>IFERROR(VLOOKUP(U14Mruns[[#This Row],[Card]],results0121[],3,FALSE),999)</f>
        <v>999</v>
      </c>
      <c r="P92" s="5">
        <f>VLOOKUP(U14Mruns[[#This Row],[pos0121]],pointstable[],2,FALSE)</f>
        <v>0</v>
      </c>
      <c r="Q92" s="5">
        <f>IFERROR(VLOOKUP(U14Mruns[[#This Row],[Card]],results0118[],4,FALSE),999)</f>
        <v>49</v>
      </c>
      <c r="R92" s="5">
        <f>VLOOKUP(U14Mruns[[#This Row],[pos1.0118]],pointstable[],2,FALSE)</f>
        <v>11</v>
      </c>
      <c r="S92" s="5">
        <f>IFERROR(VLOOKUP(U14Mruns[[#This Row],[Card]],results0118[],5,FALSE),999)</f>
        <v>40</v>
      </c>
      <c r="T92" s="5">
        <f>VLOOKUP(U14Mruns[[#This Row],[pos2.0118]],pointstable[],2,FALSE)</f>
        <v>20</v>
      </c>
      <c r="U92" s="5">
        <f>IFERROR(VLOOKUP(U14Mruns[[#This Row],[Card]],results0123[],4,FALSE),999)</f>
        <v>57</v>
      </c>
      <c r="V92" s="5">
        <f>VLOOKUP(U14Mruns[[#This Row],[pos1.0123]],pointstable[],2,FALSE)</f>
        <v>3</v>
      </c>
      <c r="W92" s="5">
        <f>IFERROR(VLOOKUP(U14Mruns[[#This Row],[Card]],results0123[],5,FALSE),999)</f>
        <v>999</v>
      </c>
      <c r="X92" s="5">
        <f>VLOOKUP(U14Mruns[[#This Row],[pos2.0123]],pointstable[],2,FALSE)</f>
        <v>0</v>
      </c>
      <c r="Y92" s="5">
        <f>IFERROR(VLOOKUP(U14Mruns[[#This Row],[Card]],results0120[],4,FALSE),999)</f>
        <v>999</v>
      </c>
      <c r="Z92" s="5">
        <f>VLOOKUP(U14Mruns[[#This Row],[pos1.0120]],pointstable[],2,FALSE)</f>
        <v>0</v>
      </c>
      <c r="AA92" s="5">
        <f>IFERROR(VLOOKUP(U14Mruns[[#This Row],[Card]],results0120[],5,FALSE),999)</f>
        <v>999</v>
      </c>
      <c r="AB92" s="5">
        <f>VLOOKUP(U14Mruns[[#This Row],[pos2.0120]],pointstable[],2,FALSE)</f>
        <v>0</v>
      </c>
    </row>
    <row r="93" spans="1:28" x14ac:dyDescent="0.25">
      <c r="A93">
        <v>81740</v>
      </c>
      <c r="B93" t="s">
        <v>160</v>
      </c>
      <c r="C93" t="s">
        <v>31</v>
      </c>
      <c r="D93">
        <v>4</v>
      </c>
      <c r="E93" s="5">
        <f>MAX(U14Mruns[[#This Row],[pts1.0119]],U14Mruns[[#This Row],[pts2.0119]],U14Mruns[[#This Row],[pts1.0118]],U14Mruns[[#This Row],[pts2.0118]],U14Mruns[[#This Row],[pts1.0120]],U14Mruns[[#This Row],[pts2.0120]])</f>
        <v>16</v>
      </c>
      <c r="F93" s="5">
        <f>MAX(U14Mruns[[#This Row],[pts1.0117]],U14Mruns[[#This Row],[pts2.0117]],U14Mruns[[#This Row],[pts0121]],U14Mruns[[#This Row],[pts1.0123]],U14Mruns[[#This Row],[pts2.0123]])</f>
        <v>25</v>
      </c>
      <c r="G93" s="5">
        <f>IFERROR(VLOOKUP(U14Mruns[[#This Row],[Card]],results0117[],4,FALSE),999)</f>
        <v>999</v>
      </c>
      <c r="H93" s="5">
        <f>VLOOKUP(U14Mruns[[#This Row],[pos1.0117]],pointstable[],2,FALSE)</f>
        <v>0</v>
      </c>
      <c r="I93" s="5">
        <f>IFERROR(VLOOKUP(U14Mruns[[#This Row],[Card]],results0117[],5,FALSE),999)</f>
        <v>999</v>
      </c>
      <c r="J93" s="5">
        <f>VLOOKUP(U14Mruns[[#This Row],[pos2.0117]],pointstable[],2,FALSE)</f>
        <v>0</v>
      </c>
      <c r="K93" s="5">
        <f>IFERROR(VLOOKUP(U14Mruns[[#This Row],[Card]],results0119[],4,FALSE),999)</f>
        <v>999</v>
      </c>
      <c r="L93" s="5">
        <f>VLOOKUP(U14Mruns[[#This Row],[pos1.0119]],pointstable[],2,FALSE)</f>
        <v>0</v>
      </c>
      <c r="M93" s="5">
        <f>IFERROR(VLOOKUP(U14Mruns[[#This Row],[Card]],results0119[],5,FALSE),999)</f>
        <v>999</v>
      </c>
      <c r="N93" s="5">
        <f>VLOOKUP(U14Mruns[[#This Row],[pos2.0119]],pointstable[],2,FALSE)</f>
        <v>0</v>
      </c>
      <c r="O93" s="5">
        <f>IFERROR(VLOOKUP(U14Mruns[[#This Row],[Card]],results0121[],3,FALSE),999)</f>
        <v>999</v>
      </c>
      <c r="P93" s="5">
        <f>VLOOKUP(U14Mruns[[#This Row],[pos0121]],pointstable[],2,FALSE)</f>
        <v>0</v>
      </c>
      <c r="Q93" s="5">
        <f>IFERROR(VLOOKUP(U14Mruns[[#This Row],[Card]],results0118[],4,FALSE),999)</f>
        <v>44</v>
      </c>
      <c r="R93" s="5">
        <f>VLOOKUP(U14Mruns[[#This Row],[pos1.0118]],pointstable[],2,FALSE)</f>
        <v>16</v>
      </c>
      <c r="S93" s="5">
        <f>IFERROR(VLOOKUP(U14Mruns[[#This Row],[Card]],results0118[],5,FALSE),999)</f>
        <v>999</v>
      </c>
      <c r="T93" s="5">
        <f>VLOOKUP(U14Mruns[[#This Row],[pos2.0118]],pointstable[],2,FALSE)</f>
        <v>0</v>
      </c>
      <c r="U93" s="5">
        <f>IFERROR(VLOOKUP(U14Mruns[[#This Row],[Card]],results0123[],4,FALSE),999)</f>
        <v>999</v>
      </c>
      <c r="V93" s="5">
        <f>VLOOKUP(U14Mruns[[#This Row],[pos1.0123]],pointstable[],2,FALSE)</f>
        <v>0</v>
      </c>
      <c r="W93" s="5">
        <f>IFERROR(VLOOKUP(U14Mruns[[#This Row],[Card]],results0123[],5,FALSE),999)</f>
        <v>35</v>
      </c>
      <c r="X93" s="5">
        <f>VLOOKUP(U14Mruns[[#This Row],[pos2.0123]],pointstable[],2,FALSE)</f>
        <v>25</v>
      </c>
      <c r="Y93" s="5">
        <f>IFERROR(VLOOKUP(U14Mruns[[#This Row],[Card]],results0120[],4,FALSE),999)</f>
        <v>999</v>
      </c>
      <c r="Z93" s="5">
        <f>VLOOKUP(U14Mruns[[#This Row],[pos1.0120]],pointstable[],2,FALSE)</f>
        <v>0</v>
      </c>
      <c r="AA93" s="5">
        <f>IFERROR(VLOOKUP(U14Mruns[[#This Row],[Card]],results0120[],5,FALSE),999)</f>
        <v>999</v>
      </c>
      <c r="AB93" s="5">
        <f>VLOOKUP(U14Mruns[[#This Row],[pos2.0120]],pointstable[],2,FALSE)</f>
        <v>0</v>
      </c>
    </row>
    <row r="94" spans="1:28" x14ac:dyDescent="0.25">
      <c r="A94">
        <v>82224</v>
      </c>
      <c r="B94" t="s">
        <v>190</v>
      </c>
      <c r="C94" t="s">
        <v>101</v>
      </c>
      <c r="D94">
        <v>4</v>
      </c>
      <c r="E94" s="5">
        <f>MAX(U14Mruns[[#This Row],[pts1.0119]],U14Mruns[[#This Row],[pts2.0119]],U14Mruns[[#This Row],[pts1.0118]],U14Mruns[[#This Row],[pts2.0118]],U14Mruns[[#This Row],[pts1.0120]],U14Mruns[[#This Row],[pts2.0120]])</f>
        <v>15</v>
      </c>
      <c r="F94" s="5">
        <f>MAX(U14Mruns[[#This Row],[pts1.0117]],U14Mruns[[#This Row],[pts2.0117]],U14Mruns[[#This Row],[pts0121]],U14Mruns[[#This Row],[pts1.0123]],U14Mruns[[#This Row],[pts2.0123]])</f>
        <v>0</v>
      </c>
      <c r="G94" s="5">
        <f>IFERROR(VLOOKUP(U14Mruns[[#This Row],[Card]],results0117[],4,FALSE),999)</f>
        <v>77</v>
      </c>
      <c r="H94" s="5">
        <f>VLOOKUP(U14Mruns[[#This Row],[pos1.0117]],pointstable[],2,FALSE)</f>
        <v>0</v>
      </c>
      <c r="I94" s="5">
        <f>IFERROR(VLOOKUP(U14Mruns[[#This Row],[Card]],results0117[],5,FALSE),999)</f>
        <v>999</v>
      </c>
      <c r="J94" s="5">
        <f>VLOOKUP(U14Mruns[[#This Row],[pos2.0117]],pointstable[],2,FALSE)</f>
        <v>0</v>
      </c>
      <c r="K94" s="5">
        <f>IFERROR(VLOOKUP(U14Mruns[[#This Row],[Card]],results0119[],4,FALSE),999)</f>
        <v>999</v>
      </c>
      <c r="L94" s="5">
        <f>VLOOKUP(U14Mruns[[#This Row],[pos1.0119]],pointstable[],2,FALSE)</f>
        <v>0</v>
      </c>
      <c r="M94" s="5">
        <f>IFERROR(VLOOKUP(U14Mruns[[#This Row],[Card]],results0119[],5,FALSE),999)</f>
        <v>45</v>
      </c>
      <c r="N94" s="5">
        <f>VLOOKUP(U14Mruns[[#This Row],[pos2.0119]],pointstable[],2,FALSE)</f>
        <v>15</v>
      </c>
      <c r="O94" s="5">
        <f>IFERROR(VLOOKUP(U14Mruns[[#This Row],[Card]],results0121[],3,FALSE),999)</f>
        <v>999</v>
      </c>
      <c r="P94" s="5">
        <f>VLOOKUP(U14Mruns[[#This Row],[pos0121]],pointstable[],2,FALSE)</f>
        <v>0</v>
      </c>
      <c r="Q94" s="5">
        <f>IFERROR(VLOOKUP(U14Mruns[[#This Row],[Card]],results0118[],4,FALSE),999)</f>
        <v>67</v>
      </c>
      <c r="R94" s="5">
        <f>VLOOKUP(U14Mruns[[#This Row],[pos1.0118]],pointstable[],2,FALSE)</f>
        <v>0</v>
      </c>
      <c r="S94" s="5">
        <f>IFERROR(VLOOKUP(U14Mruns[[#This Row],[Card]],results0118[],5,FALSE),999)</f>
        <v>999</v>
      </c>
      <c r="T94" s="5">
        <f>VLOOKUP(U14Mruns[[#This Row],[pos2.0118]],pointstable[],2,FALSE)</f>
        <v>0</v>
      </c>
      <c r="U94" s="5">
        <f>IFERROR(VLOOKUP(U14Mruns[[#This Row],[Card]],results0123[],4,FALSE),999)</f>
        <v>87</v>
      </c>
      <c r="V94" s="5">
        <f>VLOOKUP(U14Mruns[[#This Row],[pos1.0123]],pointstable[],2,FALSE)</f>
        <v>0</v>
      </c>
      <c r="W94" s="5">
        <f>IFERROR(VLOOKUP(U14Mruns[[#This Row],[Card]],results0123[],5,FALSE),999)</f>
        <v>999</v>
      </c>
      <c r="X94" s="5">
        <f>VLOOKUP(U14Mruns[[#This Row],[pos2.0123]],pointstable[],2,FALSE)</f>
        <v>0</v>
      </c>
      <c r="Y94" s="5">
        <f>IFERROR(VLOOKUP(U14Mruns[[#This Row],[Card]],results0120[],4,FALSE),999)</f>
        <v>999</v>
      </c>
      <c r="Z94" s="5">
        <f>VLOOKUP(U14Mruns[[#This Row],[pos1.0120]],pointstable[],2,FALSE)</f>
        <v>0</v>
      </c>
      <c r="AA94" s="5">
        <f>IFERROR(VLOOKUP(U14Mruns[[#This Row],[Card]],results0120[],5,FALSE),999)</f>
        <v>999</v>
      </c>
      <c r="AB94" s="5">
        <f>VLOOKUP(U14Mruns[[#This Row],[pos2.0120]],pointstable[],2,FALSE)</f>
        <v>0</v>
      </c>
    </row>
    <row r="95" spans="1:28" x14ac:dyDescent="0.25">
      <c r="A95">
        <v>85454</v>
      </c>
      <c r="B95" t="s">
        <v>218</v>
      </c>
      <c r="C95" t="s">
        <v>54</v>
      </c>
      <c r="D95">
        <v>5</v>
      </c>
      <c r="E95" s="5">
        <f>MAX(U14Mruns[[#This Row],[pts1.0119]],U14Mruns[[#This Row],[pts2.0119]],U14Mruns[[#This Row],[pts1.0118]],U14Mruns[[#This Row],[pts2.0118]],U14Mruns[[#This Row],[pts1.0120]],U14Mruns[[#This Row],[pts2.0120]])</f>
        <v>13</v>
      </c>
      <c r="F95" s="5">
        <f>MAX(U14Mruns[[#This Row],[pts1.0117]],U14Mruns[[#This Row],[pts2.0117]],U14Mruns[[#This Row],[pts0121]],U14Mruns[[#This Row],[pts1.0123]],U14Mruns[[#This Row],[pts2.0123]])</f>
        <v>0</v>
      </c>
      <c r="G95" s="5">
        <f>IFERROR(VLOOKUP(U14Mruns[[#This Row],[Card]],results0117[],4,FALSE),999)</f>
        <v>70</v>
      </c>
      <c r="H95" s="5">
        <f>VLOOKUP(U14Mruns[[#This Row],[pos1.0117]],pointstable[],2,FALSE)</f>
        <v>0</v>
      </c>
      <c r="I95" s="5">
        <f>IFERROR(VLOOKUP(U14Mruns[[#This Row],[Card]],results0117[],5,FALSE),999)</f>
        <v>69</v>
      </c>
      <c r="J95" s="5">
        <f>VLOOKUP(U14Mruns[[#This Row],[pos2.0117]],pointstable[],2,FALSE)</f>
        <v>0</v>
      </c>
      <c r="K95" s="5">
        <f>IFERROR(VLOOKUP(U14Mruns[[#This Row],[Card]],results0119[],4,FALSE),999)</f>
        <v>50</v>
      </c>
      <c r="L95" s="5">
        <f>VLOOKUP(U14Mruns[[#This Row],[pos1.0119]],pointstable[],2,FALSE)</f>
        <v>10</v>
      </c>
      <c r="M95" s="5">
        <f>IFERROR(VLOOKUP(U14Mruns[[#This Row],[Card]],results0119[],5,FALSE),999)</f>
        <v>67</v>
      </c>
      <c r="N95" s="5">
        <f>VLOOKUP(U14Mruns[[#This Row],[pos2.0119]],pointstable[],2,FALSE)</f>
        <v>0</v>
      </c>
      <c r="O95" s="5">
        <f>IFERROR(VLOOKUP(U14Mruns[[#This Row],[Card]],results0121[],3,FALSE),999)</f>
        <v>999</v>
      </c>
      <c r="P95" s="5">
        <f>VLOOKUP(U14Mruns[[#This Row],[pos0121]],pointstable[],2,FALSE)</f>
        <v>0</v>
      </c>
      <c r="Q95" s="5">
        <f>IFERROR(VLOOKUP(U14Mruns[[#This Row],[Card]],results0118[],4,FALSE),999)</f>
        <v>999</v>
      </c>
      <c r="R95" s="5">
        <f>VLOOKUP(U14Mruns[[#This Row],[pos1.0118]],pointstable[],2,FALSE)</f>
        <v>0</v>
      </c>
      <c r="S95" s="5">
        <f>IFERROR(VLOOKUP(U14Mruns[[#This Row],[Card]],results0118[],5,FALSE),999)</f>
        <v>999</v>
      </c>
      <c r="T95" s="5">
        <f>VLOOKUP(U14Mruns[[#This Row],[pos2.0118]],pointstable[],2,FALSE)</f>
        <v>0</v>
      </c>
      <c r="U95" s="5">
        <f>IFERROR(VLOOKUP(U14Mruns[[#This Row],[Card]],results0123[],4,FALSE),999)</f>
        <v>999</v>
      </c>
      <c r="V95" s="5">
        <f>VLOOKUP(U14Mruns[[#This Row],[pos1.0123]],pointstable[],2,FALSE)</f>
        <v>0</v>
      </c>
      <c r="W95" s="5">
        <f>IFERROR(VLOOKUP(U14Mruns[[#This Row],[Card]],results0123[],5,FALSE),999)</f>
        <v>999</v>
      </c>
      <c r="X95" s="5">
        <f>VLOOKUP(U14Mruns[[#This Row],[pos2.0123]],pointstable[],2,FALSE)</f>
        <v>0</v>
      </c>
      <c r="Y95" s="5">
        <f>IFERROR(VLOOKUP(U14Mruns[[#This Row],[Card]],results0120[],4,FALSE),999)</f>
        <v>47</v>
      </c>
      <c r="Z95" s="5">
        <f>VLOOKUP(U14Mruns[[#This Row],[pos1.0120]],pointstable[],2,FALSE)</f>
        <v>13</v>
      </c>
      <c r="AA95" s="5">
        <f>IFERROR(VLOOKUP(U14Mruns[[#This Row],[Card]],results0120[],5,FALSE),999)</f>
        <v>55</v>
      </c>
      <c r="AB95" s="5">
        <f>VLOOKUP(U14Mruns[[#This Row],[pos2.0120]],pointstable[],2,FALSE)</f>
        <v>5</v>
      </c>
    </row>
    <row r="96" spans="1:28" x14ac:dyDescent="0.25">
      <c r="A96">
        <v>80835</v>
      </c>
      <c r="B96" s="5" t="s">
        <v>302</v>
      </c>
      <c r="C96" s="5" t="s">
        <v>54</v>
      </c>
      <c r="D96" s="5">
        <v>5</v>
      </c>
      <c r="E96" s="5">
        <f>MAX(U14Mruns[[#This Row],[pts1.0119]],U14Mruns[[#This Row],[pts2.0119]],U14Mruns[[#This Row],[pts1.0118]],U14Mruns[[#This Row],[pts2.0118]],U14Mruns[[#This Row],[pts1.0120]],U14Mruns[[#This Row],[pts2.0120]])</f>
        <v>6</v>
      </c>
      <c r="F96" s="5">
        <f>MAX(U14Mruns[[#This Row],[pts1.0117]],U14Mruns[[#This Row],[pts2.0117]],U14Mruns[[#This Row],[pts0121]],U14Mruns[[#This Row],[pts1.0123]],U14Mruns[[#This Row],[pts2.0123]])</f>
        <v>0</v>
      </c>
      <c r="G96" s="5">
        <f>IFERROR(VLOOKUP(U14Mruns[[#This Row],[Card]],results0117[],4,FALSE),999)</f>
        <v>74</v>
      </c>
      <c r="H96" s="5">
        <f>VLOOKUP(U14Mruns[[#This Row],[pos1.0117]],pointstable[],2,FALSE)</f>
        <v>0</v>
      </c>
      <c r="I96" s="5">
        <f>IFERROR(VLOOKUP(U14Mruns[[#This Row],[Card]],results0117[],5,FALSE),999)</f>
        <v>83</v>
      </c>
      <c r="J96" s="5">
        <f>VLOOKUP(U14Mruns[[#This Row],[pos2.0117]],pointstable[],2,FALSE)</f>
        <v>0</v>
      </c>
      <c r="K96" s="5">
        <f>IFERROR(VLOOKUP(U14Mruns[[#This Row],[Card]],results0119[],4,FALSE),999)</f>
        <v>54</v>
      </c>
      <c r="L96" s="5">
        <f>VLOOKUP(U14Mruns[[#This Row],[pos1.0119]],pointstable[],2,FALSE)</f>
        <v>6</v>
      </c>
      <c r="M96" s="5">
        <f>IFERROR(VLOOKUP(U14Mruns[[#This Row],[Card]],results0119[],5,FALSE),999)</f>
        <v>999</v>
      </c>
      <c r="N96" s="5">
        <f>VLOOKUP(U14Mruns[[#This Row],[pos2.0119]],pointstable[],2,FALSE)</f>
        <v>0</v>
      </c>
      <c r="O96" s="5">
        <f>IFERROR(VLOOKUP(U14Mruns[[#This Row],[Card]],results0121[],3,FALSE),999)</f>
        <v>999</v>
      </c>
      <c r="P96" s="5">
        <f>VLOOKUP(U14Mruns[[#This Row],[pos0121]],pointstable[],2,FALSE)</f>
        <v>0</v>
      </c>
      <c r="Q96" s="5">
        <f>IFERROR(VLOOKUP(U14Mruns[[#This Row],[Card]],results0118[],4,FALSE),999)</f>
        <v>75</v>
      </c>
      <c r="R96" s="5">
        <f>VLOOKUP(U14Mruns[[#This Row],[pos1.0118]],pointstable[],2,FALSE)</f>
        <v>0</v>
      </c>
      <c r="S96" s="5">
        <f>IFERROR(VLOOKUP(U14Mruns[[#This Row],[Card]],results0118[],5,FALSE),999)</f>
        <v>62</v>
      </c>
      <c r="T96" s="5">
        <f>VLOOKUP(U14Mruns[[#This Row],[pos2.0118]],pointstable[],2,FALSE)</f>
        <v>0</v>
      </c>
      <c r="U96" s="5">
        <f>IFERROR(VLOOKUP(U14Mruns[[#This Row],[Card]],results0123[],4,FALSE),999)</f>
        <v>73</v>
      </c>
      <c r="V96" s="5">
        <f>VLOOKUP(U14Mruns[[#This Row],[pos1.0123]],pointstable[],2,FALSE)</f>
        <v>0</v>
      </c>
      <c r="W96" s="5">
        <f>IFERROR(VLOOKUP(U14Mruns[[#This Row],[Card]],results0123[],5,FALSE),999)</f>
        <v>999</v>
      </c>
      <c r="X96" s="5">
        <f>VLOOKUP(U14Mruns[[#This Row],[pos2.0123]],pointstable[],2,FALSE)</f>
        <v>0</v>
      </c>
      <c r="Y96" s="5">
        <f>IFERROR(VLOOKUP(U14Mruns[[#This Row],[Card]],results0120[],4,FALSE),999)</f>
        <v>999</v>
      </c>
      <c r="Z96" s="5">
        <f>VLOOKUP(U14Mruns[[#This Row],[pos1.0120]],pointstable[],2,FALSE)</f>
        <v>0</v>
      </c>
      <c r="AA96" s="5">
        <f>IFERROR(VLOOKUP(U14Mruns[[#This Row],[Card]],results0120[],5,FALSE),999)</f>
        <v>999</v>
      </c>
      <c r="AB96" s="5">
        <f>VLOOKUP(U14Mruns[[#This Row],[pos2.0120]],pointstable[],2,FALSE)</f>
        <v>0</v>
      </c>
    </row>
    <row r="97" spans="1:28" x14ac:dyDescent="0.25">
      <c r="A97">
        <v>80630</v>
      </c>
      <c r="B97" t="s">
        <v>188</v>
      </c>
      <c r="C97" t="s">
        <v>19</v>
      </c>
      <c r="D97">
        <v>4</v>
      </c>
      <c r="E97" s="5">
        <f>MAX(U14Mruns[[#This Row],[pts1.0119]],U14Mruns[[#This Row],[pts2.0119]],U14Mruns[[#This Row],[pts1.0118]],U14Mruns[[#This Row],[pts2.0118]],U14Mruns[[#This Row],[pts1.0120]],U14Mruns[[#This Row],[pts2.0120]])</f>
        <v>17</v>
      </c>
      <c r="F97" s="5">
        <f>MAX(U14Mruns[[#This Row],[pts1.0117]],U14Mruns[[#This Row],[pts2.0117]],U14Mruns[[#This Row],[pts0121]],U14Mruns[[#This Row],[pts1.0123]],U14Mruns[[#This Row],[pts2.0123]])</f>
        <v>0</v>
      </c>
      <c r="G97" s="5">
        <f>IFERROR(VLOOKUP(U14Mruns[[#This Row],[Card]],results0117[],4,FALSE),999)</f>
        <v>79</v>
      </c>
      <c r="H97" s="5">
        <f>VLOOKUP(U14Mruns[[#This Row],[pos1.0117]],pointstable[],2,FALSE)</f>
        <v>0</v>
      </c>
      <c r="I97" s="5">
        <f>IFERROR(VLOOKUP(U14Mruns[[#This Row],[Card]],results0117[],5,FALSE),999)</f>
        <v>85</v>
      </c>
      <c r="J97" s="5">
        <f>VLOOKUP(U14Mruns[[#This Row],[pos2.0117]],pointstable[],2,FALSE)</f>
        <v>0</v>
      </c>
      <c r="K97" s="5">
        <f>IFERROR(VLOOKUP(U14Mruns[[#This Row],[Card]],results0119[],4,FALSE),999)</f>
        <v>56</v>
      </c>
      <c r="L97" s="5">
        <f>VLOOKUP(U14Mruns[[#This Row],[pos1.0119]],pointstable[],2,FALSE)</f>
        <v>4</v>
      </c>
      <c r="M97" s="5">
        <f>IFERROR(VLOOKUP(U14Mruns[[#This Row],[Card]],results0119[],5,FALSE),999)</f>
        <v>74</v>
      </c>
      <c r="N97" s="5">
        <f>VLOOKUP(U14Mruns[[#This Row],[pos2.0119]],pointstable[],2,FALSE)</f>
        <v>0</v>
      </c>
      <c r="O97" s="5">
        <f>IFERROR(VLOOKUP(U14Mruns[[#This Row],[Card]],results0121[],3,FALSE),999)</f>
        <v>65</v>
      </c>
      <c r="P97" s="5">
        <f>VLOOKUP(U14Mruns[[#This Row],[pos0121]],pointstable[],2,FALSE)</f>
        <v>0</v>
      </c>
      <c r="Q97" s="5">
        <f>IFERROR(VLOOKUP(U14Mruns[[#This Row],[Card]],results0118[],4,FALSE),999)</f>
        <v>77</v>
      </c>
      <c r="R97" s="5">
        <f>VLOOKUP(U14Mruns[[#This Row],[pos1.0118]],pointstable[],2,FALSE)</f>
        <v>0</v>
      </c>
      <c r="S97" s="5">
        <f>IFERROR(VLOOKUP(U14Mruns[[#This Row],[Card]],results0118[],5,FALSE),999)</f>
        <v>55</v>
      </c>
      <c r="T97" s="5">
        <f>VLOOKUP(U14Mruns[[#This Row],[pos2.0118]],pointstable[],2,FALSE)</f>
        <v>5</v>
      </c>
      <c r="U97" s="5">
        <f>IFERROR(VLOOKUP(U14Mruns[[#This Row],[Card]],results0123[],4,FALSE),999)</f>
        <v>999</v>
      </c>
      <c r="V97" s="5">
        <f>VLOOKUP(U14Mruns[[#This Row],[pos1.0123]],pointstable[],2,FALSE)</f>
        <v>0</v>
      </c>
      <c r="W97" s="5">
        <f>IFERROR(VLOOKUP(U14Mruns[[#This Row],[Card]],results0123[],5,FALSE),999)</f>
        <v>79</v>
      </c>
      <c r="X97" s="5">
        <f>VLOOKUP(U14Mruns[[#This Row],[pos2.0123]],pointstable[],2,FALSE)</f>
        <v>0</v>
      </c>
      <c r="Y97" s="5">
        <f>IFERROR(VLOOKUP(U14Mruns[[#This Row],[Card]],results0120[],4,FALSE),999)</f>
        <v>43</v>
      </c>
      <c r="Z97" s="5">
        <f>VLOOKUP(U14Mruns[[#This Row],[pos1.0120]],pointstable[],2,FALSE)</f>
        <v>17</v>
      </c>
      <c r="AA97" s="5">
        <f>IFERROR(VLOOKUP(U14Mruns[[#This Row],[Card]],results0120[],5,FALSE),999)</f>
        <v>51</v>
      </c>
      <c r="AB97" s="5">
        <f>VLOOKUP(U14Mruns[[#This Row],[pos2.0120]],pointstable[],2,FALSE)</f>
        <v>9</v>
      </c>
    </row>
    <row r="98" spans="1:28" x14ac:dyDescent="0.25">
      <c r="A98">
        <v>80700</v>
      </c>
      <c r="B98" t="s">
        <v>192</v>
      </c>
      <c r="C98" t="s">
        <v>31</v>
      </c>
      <c r="D98">
        <v>4</v>
      </c>
      <c r="E98" s="5">
        <f>MAX(U14Mruns[[#This Row],[pts1.0119]],U14Mruns[[#This Row],[pts2.0119]],U14Mruns[[#This Row],[pts1.0118]],U14Mruns[[#This Row],[pts2.0118]],U14Mruns[[#This Row],[pts1.0120]],U14Mruns[[#This Row],[pts2.0120]])</f>
        <v>23</v>
      </c>
      <c r="F98" s="5">
        <f>MAX(U14Mruns[[#This Row],[pts1.0117]],U14Mruns[[#This Row],[pts2.0117]],U14Mruns[[#This Row],[pts0121]],U14Mruns[[#This Row],[pts1.0123]],U14Mruns[[#This Row],[pts2.0123]])</f>
        <v>5</v>
      </c>
      <c r="G98" s="5">
        <f>IFERROR(VLOOKUP(U14Mruns[[#This Row],[Card]],results0117[],4,FALSE),999)</f>
        <v>71</v>
      </c>
      <c r="H98" s="5">
        <f>VLOOKUP(U14Mruns[[#This Row],[pos1.0117]],pointstable[],2,FALSE)</f>
        <v>0</v>
      </c>
      <c r="I98" s="5">
        <f>IFERROR(VLOOKUP(U14Mruns[[#This Row],[Card]],results0117[],5,FALSE),999)</f>
        <v>67</v>
      </c>
      <c r="J98" s="5">
        <f>VLOOKUP(U14Mruns[[#This Row],[pos2.0117]],pointstable[],2,FALSE)</f>
        <v>0</v>
      </c>
      <c r="K98" s="5">
        <f>IFERROR(VLOOKUP(U14Mruns[[#This Row],[Card]],results0119[],4,FALSE),999)</f>
        <v>999</v>
      </c>
      <c r="L98" s="5">
        <f>VLOOKUP(U14Mruns[[#This Row],[pos1.0119]],pointstable[],2,FALSE)</f>
        <v>0</v>
      </c>
      <c r="M98" s="5">
        <f>IFERROR(VLOOKUP(U14Mruns[[#This Row],[Card]],results0119[],5,FALSE),999)</f>
        <v>55</v>
      </c>
      <c r="N98" s="5">
        <f>VLOOKUP(U14Mruns[[#This Row],[pos2.0119]],pointstable[],2,FALSE)</f>
        <v>5</v>
      </c>
      <c r="O98" s="5">
        <f>IFERROR(VLOOKUP(U14Mruns[[#This Row],[Card]],results0121[],3,FALSE),999)</f>
        <v>999</v>
      </c>
      <c r="P98" s="5">
        <f>VLOOKUP(U14Mruns[[#This Row],[pos0121]],pointstable[],2,FALSE)</f>
        <v>0</v>
      </c>
      <c r="Q98" s="5">
        <f>IFERROR(VLOOKUP(U14Mruns[[#This Row],[Card]],results0118[],4,FALSE),999)</f>
        <v>84</v>
      </c>
      <c r="R98" s="5">
        <f>VLOOKUP(U14Mruns[[#This Row],[pos1.0118]],pointstable[],2,FALSE)</f>
        <v>0</v>
      </c>
      <c r="S98" s="5">
        <f>IFERROR(VLOOKUP(U14Mruns[[#This Row],[Card]],results0118[],5,FALSE),999)</f>
        <v>63</v>
      </c>
      <c r="T98" s="5">
        <f>VLOOKUP(U14Mruns[[#This Row],[pos2.0118]],pointstable[],2,FALSE)</f>
        <v>0</v>
      </c>
      <c r="U98" s="5">
        <f>IFERROR(VLOOKUP(U14Mruns[[#This Row],[Card]],results0123[],4,FALSE),999)</f>
        <v>55</v>
      </c>
      <c r="V98" s="5">
        <f>VLOOKUP(U14Mruns[[#This Row],[pos1.0123]],pointstable[],2,FALSE)</f>
        <v>5</v>
      </c>
      <c r="W98" s="5">
        <f>IFERROR(VLOOKUP(U14Mruns[[#This Row],[Card]],results0123[],5,FALSE),999)</f>
        <v>76</v>
      </c>
      <c r="X98" s="5">
        <f>VLOOKUP(U14Mruns[[#This Row],[pos2.0123]],pointstable[],2,FALSE)</f>
        <v>0</v>
      </c>
      <c r="Y98" s="5">
        <f>IFERROR(VLOOKUP(U14Mruns[[#This Row],[Card]],results0120[],4,FALSE),999)</f>
        <v>39</v>
      </c>
      <c r="Z98" s="5">
        <f>VLOOKUP(U14Mruns[[#This Row],[pos1.0120]],pointstable[],2,FALSE)</f>
        <v>21</v>
      </c>
      <c r="AA98" s="5">
        <f>IFERROR(VLOOKUP(U14Mruns[[#This Row],[Card]],results0120[],5,FALSE),999)</f>
        <v>37</v>
      </c>
      <c r="AB98" s="5">
        <f>VLOOKUP(U14Mruns[[#This Row],[pos2.0120]],pointstable[],2,FALSE)</f>
        <v>23</v>
      </c>
    </row>
    <row r="99" spans="1:28" x14ac:dyDescent="0.25">
      <c r="A99" s="26">
        <v>84868</v>
      </c>
      <c r="B99" s="27" t="s">
        <v>312</v>
      </c>
      <c r="C99" s="27" t="s">
        <v>54</v>
      </c>
      <c r="D99" s="27">
        <v>5</v>
      </c>
      <c r="E99" s="5">
        <f>MAX(U14Mruns[[#This Row],[pts1.0119]],U14Mruns[[#This Row],[pts2.0119]],U14Mruns[[#This Row],[pts1.0118]],U14Mruns[[#This Row],[pts2.0118]],U14Mruns[[#This Row],[pts1.0120]],U14Mruns[[#This Row],[pts2.0120]])</f>
        <v>5</v>
      </c>
      <c r="F99" s="5">
        <f>MAX(U14Mruns[[#This Row],[pts1.0117]],U14Mruns[[#This Row],[pts2.0117]],U14Mruns[[#This Row],[pts0121]],U14Mruns[[#This Row],[pts1.0123]],U14Mruns[[#This Row],[pts2.0123]])</f>
        <v>0</v>
      </c>
      <c r="G99" s="5">
        <f>IFERROR(VLOOKUP(U14Mruns[[#This Row],[Card]],results0117[],4,FALSE),999)</f>
        <v>87</v>
      </c>
      <c r="H99" s="5">
        <f>VLOOKUP(U14Mruns[[#This Row],[pos1.0117]],pointstable[],2,FALSE)</f>
        <v>0</v>
      </c>
      <c r="I99" s="5">
        <f>IFERROR(VLOOKUP(U14Mruns[[#This Row],[Card]],results0117[],5,FALSE),999)</f>
        <v>92</v>
      </c>
      <c r="J99" s="5">
        <f>VLOOKUP(U14Mruns[[#This Row],[pos2.0117]],pointstable[],2,FALSE)</f>
        <v>0</v>
      </c>
      <c r="K99" s="5">
        <f>IFERROR(VLOOKUP(U14Mruns[[#This Row],[Card]],results0119[],4,FALSE),999)</f>
        <v>55</v>
      </c>
      <c r="L99" s="5">
        <f>VLOOKUP(U14Mruns[[#This Row],[pos1.0119]],pointstable[],2,FALSE)</f>
        <v>5</v>
      </c>
      <c r="M99" s="5">
        <f>IFERROR(VLOOKUP(U14Mruns[[#This Row],[Card]],results0119[],5,FALSE),999)</f>
        <v>84</v>
      </c>
      <c r="N99" s="5">
        <f>VLOOKUP(U14Mruns[[#This Row],[pos2.0119]],pointstable[],2,FALSE)</f>
        <v>0</v>
      </c>
      <c r="O99" s="5">
        <f>IFERROR(VLOOKUP(U14Mruns[[#This Row],[Card]],results0121[],3,FALSE),999)</f>
        <v>70</v>
      </c>
      <c r="P99" s="5">
        <f>VLOOKUP(U14Mruns[[#This Row],[pos0121]],pointstable[],2,FALSE)</f>
        <v>0</v>
      </c>
      <c r="Q99" s="5">
        <f>IFERROR(VLOOKUP(U14Mruns[[#This Row],[Card]],results0118[],4,FALSE),999)</f>
        <v>92</v>
      </c>
      <c r="R99" s="5">
        <f>VLOOKUP(U14Mruns[[#This Row],[pos1.0118]],pointstable[],2,FALSE)</f>
        <v>0</v>
      </c>
      <c r="S99" s="5">
        <f>IFERROR(VLOOKUP(U14Mruns[[#This Row],[Card]],results0118[],5,FALSE),999)</f>
        <v>85</v>
      </c>
      <c r="T99" s="5">
        <f>VLOOKUP(U14Mruns[[#This Row],[pos2.0118]],pointstable[],2,FALSE)</f>
        <v>0</v>
      </c>
      <c r="U99" s="5">
        <f>IFERROR(VLOOKUP(U14Mruns[[#This Row],[Card]],results0123[],4,FALSE),999)</f>
        <v>96</v>
      </c>
      <c r="V99" s="5">
        <f>VLOOKUP(U14Mruns[[#This Row],[pos1.0123]],pointstable[],2,FALSE)</f>
        <v>0</v>
      </c>
      <c r="W99" s="5">
        <f>IFERROR(VLOOKUP(U14Mruns[[#This Row],[Card]],results0123[],5,FALSE),999)</f>
        <v>999</v>
      </c>
      <c r="X99" s="5">
        <f>VLOOKUP(U14Mruns[[#This Row],[pos2.0123]],pointstable[],2,FALSE)</f>
        <v>0</v>
      </c>
      <c r="Y99" s="5">
        <f>IFERROR(VLOOKUP(U14Mruns[[#This Row],[Card]],results0120[],4,FALSE),999)</f>
        <v>999</v>
      </c>
      <c r="Z99" s="5">
        <f>VLOOKUP(U14Mruns[[#This Row],[pos1.0120]],pointstable[],2,FALSE)</f>
        <v>0</v>
      </c>
      <c r="AA99" s="5">
        <f>IFERROR(VLOOKUP(U14Mruns[[#This Row],[Card]],results0120[],5,FALSE),999)</f>
        <v>69</v>
      </c>
      <c r="AB99" s="5">
        <f>VLOOKUP(U14Mruns[[#This Row],[pos2.0120]],pointstable[],2,FALSE)</f>
        <v>0</v>
      </c>
    </row>
    <row r="100" spans="1:28" x14ac:dyDescent="0.25">
      <c r="A100">
        <v>87999</v>
      </c>
      <c r="B100" t="s">
        <v>179</v>
      </c>
      <c r="C100" t="s">
        <v>19</v>
      </c>
      <c r="D100">
        <v>5</v>
      </c>
      <c r="E100" s="5">
        <f>MAX(U14Mruns[[#This Row],[pts1.0119]],U14Mruns[[#This Row],[pts2.0119]],U14Mruns[[#This Row],[pts1.0118]],U14Mruns[[#This Row],[pts2.0118]],U14Mruns[[#This Row],[pts1.0120]],U14Mruns[[#This Row],[pts2.0120]])</f>
        <v>9</v>
      </c>
      <c r="F100" s="5">
        <f>MAX(U14Mruns[[#This Row],[pts1.0117]],U14Mruns[[#This Row],[pts2.0117]],U14Mruns[[#This Row],[pts0121]],U14Mruns[[#This Row],[pts1.0123]],U14Mruns[[#This Row],[pts2.0123]])</f>
        <v>0</v>
      </c>
      <c r="G100" s="5">
        <f>IFERROR(VLOOKUP(U14Mruns[[#This Row],[Card]],results0117[],4,FALSE),999)</f>
        <v>999</v>
      </c>
      <c r="H100" s="5">
        <f>VLOOKUP(U14Mruns[[#This Row],[pos1.0117]],pointstable[],2,FALSE)</f>
        <v>0</v>
      </c>
      <c r="I100" s="5">
        <f>IFERROR(VLOOKUP(U14Mruns[[#This Row],[Card]],results0117[],5,FALSE),999)</f>
        <v>71</v>
      </c>
      <c r="J100" s="5">
        <f>VLOOKUP(U14Mruns[[#This Row],[pos2.0117]],pointstable[],2,FALSE)</f>
        <v>0</v>
      </c>
      <c r="K100" s="5">
        <f>IFERROR(VLOOKUP(U14Mruns[[#This Row],[Card]],results0119[],4,FALSE),999)</f>
        <v>57</v>
      </c>
      <c r="L100" s="5">
        <f>VLOOKUP(U14Mruns[[#This Row],[pos1.0119]],pointstable[],2,FALSE)</f>
        <v>3</v>
      </c>
      <c r="M100" s="5">
        <f>IFERROR(VLOOKUP(U14Mruns[[#This Row],[Card]],results0119[],5,FALSE),999)</f>
        <v>77</v>
      </c>
      <c r="N100" s="5">
        <f>VLOOKUP(U14Mruns[[#This Row],[pos2.0119]],pointstable[],2,FALSE)</f>
        <v>0</v>
      </c>
      <c r="O100" s="5">
        <f>IFERROR(VLOOKUP(U14Mruns[[#This Row],[Card]],results0121[],3,FALSE),999)</f>
        <v>71</v>
      </c>
      <c r="P100" s="5">
        <f>VLOOKUP(U14Mruns[[#This Row],[pos0121]],pointstable[],2,FALSE)</f>
        <v>0</v>
      </c>
      <c r="Q100" s="5">
        <f>IFERROR(VLOOKUP(U14Mruns[[#This Row],[Card]],results0118[],4,FALSE),999)</f>
        <v>81</v>
      </c>
      <c r="R100" s="5">
        <f>VLOOKUP(U14Mruns[[#This Row],[pos1.0118]],pointstable[],2,FALSE)</f>
        <v>0</v>
      </c>
      <c r="S100" s="5">
        <f>IFERROR(VLOOKUP(U14Mruns[[#This Row],[Card]],results0118[],5,FALSE),999)</f>
        <v>77</v>
      </c>
      <c r="T100" s="5">
        <f>VLOOKUP(U14Mruns[[#This Row],[pos2.0118]],pointstable[],2,FALSE)</f>
        <v>0</v>
      </c>
      <c r="U100" s="5">
        <f>IFERROR(VLOOKUP(U14Mruns[[#This Row],[Card]],results0123[],4,FALSE),999)</f>
        <v>63</v>
      </c>
      <c r="V100" s="5">
        <f>VLOOKUP(U14Mruns[[#This Row],[pos1.0123]],pointstable[],2,FALSE)</f>
        <v>0</v>
      </c>
      <c r="W100" s="5">
        <f>IFERROR(VLOOKUP(U14Mruns[[#This Row],[Card]],results0123[],5,FALSE),999)</f>
        <v>71</v>
      </c>
      <c r="X100" s="5">
        <f>VLOOKUP(U14Mruns[[#This Row],[pos2.0123]],pointstable[],2,FALSE)</f>
        <v>0</v>
      </c>
      <c r="Y100" s="5">
        <f>IFERROR(VLOOKUP(U14Mruns[[#This Row],[Card]],results0120[],4,FALSE),999)</f>
        <v>51</v>
      </c>
      <c r="Z100" s="5">
        <f>VLOOKUP(U14Mruns[[#This Row],[pos1.0120]],pointstable[],2,FALSE)</f>
        <v>9</v>
      </c>
      <c r="AA100" s="5">
        <f>IFERROR(VLOOKUP(U14Mruns[[#This Row],[Card]],results0120[],5,FALSE),999)</f>
        <v>64</v>
      </c>
      <c r="AB100" s="5">
        <f>VLOOKUP(U14Mruns[[#This Row],[pos2.0120]],pointstable[],2,FALSE)</f>
        <v>0</v>
      </c>
    </row>
    <row r="101" spans="1:28" x14ac:dyDescent="0.25">
      <c r="A101">
        <v>80605</v>
      </c>
      <c r="B101" t="s">
        <v>162</v>
      </c>
      <c r="C101" t="s">
        <v>163</v>
      </c>
      <c r="D101">
        <v>5</v>
      </c>
      <c r="E101" s="5">
        <f>MAX(U14Mruns[[#This Row],[pts1.0119]],U14Mruns[[#This Row],[pts2.0119]],U14Mruns[[#This Row],[pts1.0118]],U14Mruns[[#This Row],[pts2.0118]],U14Mruns[[#This Row],[pts1.0120]],U14Mruns[[#This Row],[pts2.0120]])</f>
        <v>0</v>
      </c>
      <c r="F101" s="5">
        <f>MAX(U14Mruns[[#This Row],[pts1.0117]],U14Mruns[[#This Row],[pts2.0117]],U14Mruns[[#This Row],[pts0121]],U14Mruns[[#This Row],[pts1.0123]],U14Mruns[[#This Row],[pts2.0123]])</f>
        <v>0</v>
      </c>
      <c r="G101" s="5">
        <f>IFERROR(VLOOKUP(U14Mruns[[#This Row],[Card]],results0117[],4,FALSE),999)</f>
        <v>999</v>
      </c>
      <c r="H101" s="5">
        <f>VLOOKUP(U14Mruns[[#This Row],[pos1.0117]],pointstable[],2,FALSE)</f>
        <v>0</v>
      </c>
      <c r="I101" s="5">
        <f>IFERROR(VLOOKUP(U14Mruns[[#This Row],[Card]],results0117[],5,FALSE),999)</f>
        <v>999</v>
      </c>
      <c r="J101" s="5">
        <f>VLOOKUP(U14Mruns[[#This Row],[pos2.0117]],pointstable[],2,FALSE)</f>
        <v>0</v>
      </c>
      <c r="K101" s="5">
        <f>IFERROR(VLOOKUP(U14Mruns[[#This Row],[Card]],results0119[],4,FALSE),999)</f>
        <v>999</v>
      </c>
      <c r="L101" s="5">
        <f>VLOOKUP(U14Mruns[[#This Row],[pos1.0119]],pointstable[],2,FALSE)</f>
        <v>0</v>
      </c>
      <c r="M101" s="5">
        <f>IFERROR(VLOOKUP(U14Mruns[[#This Row],[Card]],results0119[],5,FALSE),999)</f>
        <v>999</v>
      </c>
      <c r="N101" s="5">
        <f>VLOOKUP(U14Mruns[[#This Row],[pos2.0119]],pointstable[],2,FALSE)</f>
        <v>0</v>
      </c>
      <c r="O101" s="5">
        <f>IFERROR(VLOOKUP(U14Mruns[[#This Row],[Card]],results0121[],3,FALSE),999)</f>
        <v>999</v>
      </c>
      <c r="P101" s="5">
        <f>VLOOKUP(U14Mruns[[#This Row],[pos0121]],pointstable[],2,FALSE)</f>
        <v>0</v>
      </c>
      <c r="Q101" s="5">
        <f>IFERROR(VLOOKUP(U14Mruns[[#This Row],[Card]],results0118[],4,FALSE),999)</f>
        <v>999</v>
      </c>
      <c r="R101" s="5">
        <f>VLOOKUP(U14Mruns[[#This Row],[pos1.0118]],pointstable[],2,FALSE)</f>
        <v>0</v>
      </c>
      <c r="S101" s="5">
        <f>IFERROR(VLOOKUP(U14Mruns[[#This Row],[Card]],results0118[],5,FALSE),999)</f>
        <v>999</v>
      </c>
      <c r="T101" s="5">
        <f>VLOOKUP(U14Mruns[[#This Row],[pos2.0118]],pointstable[],2,FALSE)</f>
        <v>0</v>
      </c>
      <c r="U101" s="5">
        <f>IFERROR(VLOOKUP(U14Mruns[[#This Row],[Card]],results0123[],4,FALSE),999)</f>
        <v>999</v>
      </c>
      <c r="V101" s="5">
        <f>VLOOKUP(U14Mruns[[#This Row],[pos1.0123]],pointstable[],2,FALSE)</f>
        <v>0</v>
      </c>
      <c r="W101" s="5">
        <f>IFERROR(VLOOKUP(U14Mruns[[#This Row],[Card]],results0123[],5,FALSE),999)</f>
        <v>999</v>
      </c>
      <c r="X101" s="5">
        <f>VLOOKUP(U14Mruns[[#This Row],[pos2.0123]],pointstable[],2,FALSE)</f>
        <v>0</v>
      </c>
      <c r="Y101" s="5">
        <f>IFERROR(VLOOKUP(U14Mruns[[#This Row],[Card]],results0120[],4,FALSE),999)</f>
        <v>999</v>
      </c>
      <c r="Z101" s="5">
        <f>VLOOKUP(U14Mruns[[#This Row],[pos1.0120]],pointstable[],2,FALSE)</f>
        <v>0</v>
      </c>
      <c r="AA101" s="5">
        <f>IFERROR(VLOOKUP(U14Mruns[[#This Row],[Card]],results0120[],5,FALSE),999)</f>
        <v>999</v>
      </c>
      <c r="AB101" s="5">
        <f>VLOOKUP(U14Mruns[[#This Row],[pos2.0120]],pointstable[],2,FALSE)</f>
        <v>0</v>
      </c>
    </row>
    <row r="102" spans="1:28" x14ac:dyDescent="0.25">
      <c r="A102">
        <v>78649</v>
      </c>
      <c r="B102" s="5" t="s">
        <v>308</v>
      </c>
      <c r="C102" s="5" t="s">
        <v>309</v>
      </c>
      <c r="D102" s="5">
        <v>4</v>
      </c>
      <c r="E102" s="5">
        <f>MAX(U14Mruns[[#This Row],[pts1.0119]],U14Mruns[[#This Row],[pts2.0119]],U14Mruns[[#This Row],[pts1.0118]],U14Mruns[[#This Row],[pts2.0118]],U14Mruns[[#This Row],[pts1.0120]],U14Mruns[[#This Row],[pts2.0120]])</f>
        <v>0</v>
      </c>
      <c r="F102" s="5">
        <f>MAX(U14Mruns[[#This Row],[pts1.0117]],U14Mruns[[#This Row],[pts2.0117]],U14Mruns[[#This Row],[pts0121]],U14Mruns[[#This Row],[pts1.0123]],U14Mruns[[#This Row],[pts2.0123]])</f>
        <v>0</v>
      </c>
      <c r="G102" s="5">
        <f>IFERROR(VLOOKUP(U14Mruns[[#This Row],[Card]],results0117[],4,FALSE),999)</f>
        <v>999</v>
      </c>
      <c r="H102" s="5">
        <f>VLOOKUP(U14Mruns[[#This Row],[pos1.0117]],pointstable[],2,FALSE)</f>
        <v>0</v>
      </c>
      <c r="I102" s="5">
        <f>IFERROR(VLOOKUP(U14Mruns[[#This Row],[Card]],results0117[],5,FALSE),999)</f>
        <v>999</v>
      </c>
      <c r="J102" s="5">
        <f>VLOOKUP(U14Mruns[[#This Row],[pos2.0117]],pointstable[],2,FALSE)</f>
        <v>0</v>
      </c>
      <c r="K102" s="5">
        <f>IFERROR(VLOOKUP(U14Mruns[[#This Row],[Card]],results0119[],4,FALSE),999)</f>
        <v>999</v>
      </c>
      <c r="L102" s="5">
        <f>VLOOKUP(U14Mruns[[#This Row],[pos1.0119]],pointstable[],2,FALSE)</f>
        <v>0</v>
      </c>
      <c r="M102" s="5">
        <f>IFERROR(VLOOKUP(U14Mruns[[#This Row],[Card]],results0119[],5,FALSE),999)</f>
        <v>999</v>
      </c>
      <c r="N102" s="5">
        <f>VLOOKUP(U14Mruns[[#This Row],[pos2.0119]],pointstable[],2,FALSE)</f>
        <v>0</v>
      </c>
      <c r="O102" s="5">
        <f>IFERROR(VLOOKUP(U14Mruns[[#This Row],[Card]],results0121[],3,FALSE),999)</f>
        <v>999</v>
      </c>
      <c r="P102" s="5">
        <f>VLOOKUP(U14Mruns[[#This Row],[pos0121]],pointstable[],2,FALSE)</f>
        <v>0</v>
      </c>
      <c r="Q102" s="5">
        <f>IFERROR(VLOOKUP(U14Mruns[[#This Row],[Card]],results0118[],4,FALSE),999)</f>
        <v>999</v>
      </c>
      <c r="R102" s="5">
        <f>VLOOKUP(U14Mruns[[#This Row],[pos1.0118]],pointstable[],2,FALSE)</f>
        <v>0</v>
      </c>
      <c r="S102" s="5">
        <f>IFERROR(VLOOKUP(U14Mruns[[#This Row],[Card]],results0118[],5,FALSE),999)</f>
        <v>999</v>
      </c>
      <c r="T102" s="5">
        <f>VLOOKUP(U14Mruns[[#This Row],[pos2.0118]],pointstable[],2,FALSE)</f>
        <v>0</v>
      </c>
      <c r="U102" s="5">
        <f>IFERROR(VLOOKUP(U14Mruns[[#This Row],[Card]],results0123[],4,FALSE),999)</f>
        <v>999</v>
      </c>
      <c r="V102" s="5">
        <f>VLOOKUP(U14Mruns[[#This Row],[pos1.0123]],pointstable[],2,FALSE)</f>
        <v>0</v>
      </c>
      <c r="W102" s="5">
        <f>IFERROR(VLOOKUP(U14Mruns[[#This Row],[Card]],results0123[],5,FALSE),999)</f>
        <v>999</v>
      </c>
      <c r="X102" s="5">
        <f>VLOOKUP(U14Mruns[[#This Row],[pos2.0123]],pointstable[],2,FALSE)</f>
        <v>0</v>
      </c>
      <c r="Y102" s="5">
        <f>IFERROR(VLOOKUP(U14Mruns[[#This Row],[Card]],results0120[],4,FALSE),999)</f>
        <v>999</v>
      </c>
      <c r="Z102" s="5">
        <f>VLOOKUP(U14Mruns[[#This Row],[pos1.0120]],pointstable[],2,FALSE)</f>
        <v>0</v>
      </c>
      <c r="AA102" s="5">
        <f>IFERROR(VLOOKUP(U14Mruns[[#This Row],[Card]],results0120[],5,FALSE),999)</f>
        <v>999</v>
      </c>
      <c r="AB102" s="5">
        <f>VLOOKUP(U14Mruns[[#This Row],[pos2.0120]],pointstable[],2,FALSE)</f>
        <v>0</v>
      </c>
    </row>
    <row r="103" spans="1:28" x14ac:dyDescent="0.25">
      <c r="A103">
        <v>76510</v>
      </c>
      <c r="B103" t="s">
        <v>186</v>
      </c>
      <c r="C103" t="s">
        <v>38</v>
      </c>
      <c r="D103">
        <v>4</v>
      </c>
      <c r="E103" s="5">
        <f>MAX(U14Mruns[[#This Row],[pts1.0119]],U14Mruns[[#This Row],[pts2.0119]],U14Mruns[[#This Row],[pts1.0118]],U14Mruns[[#This Row],[pts2.0118]],U14Mruns[[#This Row],[pts1.0120]],U14Mruns[[#This Row],[pts2.0120]])</f>
        <v>11</v>
      </c>
      <c r="F103" s="5">
        <f>MAX(U14Mruns[[#This Row],[pts1.0117]],U14Mruns[[#This Row],[pts2.0117]],U14Mruns[[#This Row],[pts0121]],U14Mruns[[#This Row],[pts1.0123]],U14Mruns[[#This Row],[pts2.0123]])</f>
        <v>0</v>
      </c>
      <c r="G103" s="5">
        <f>IFERROR(VLOOKUP(U14Mruns[[#This Row],[Card]],results0117[],4,FALSE),999)</f>
        <v>999</v>
      </c>
      <c r="H103" s="5">
        <f>VLOOKUP(U14Mruns[[#This Row],[pos1.0117]],pointstable[],2,FALSE)</f>
        <v>0</v>
      </c>
      <c r="I103" s="5">
        <f>IFERROR(VLOOKUP(U14Mruns[[#This Row],[Card]],results0117[],5,FALSE),999)</f>
        <v>999</v>
      </c>
      <c r="J103" s="5">
        <f>VLOOKUP(U14Mruns[[#This Row],[pos2.0117]],pointstable[],2,FALSE)</f>
        <v>0</v>
      </c>
      <c r="K103" s="5">
        <f>IFERROR(VLOOKUP(U14Mruns[[#This Row],[Card]],results0119[],4,FALSE),999)</f>
        <v>999</v>
      </c>
      <c r="L103" s="5">
        <f>VLOOKUP(U14Mruns[[#This Row],[pos1.0119]],pointstable[],2,FALSE)</f>
        <v>0</v>
      </c>
      <c r="M103" s="5">
        <f>IFERROR(VLOOKUP(U14Mruns[[#This Row],[Card]],results0119[],5,FALSE),999)</f>
        <v>999</v>
      </c>
      <c r="N103" s="5">
        <f>VLOOKUP(U14Mruns[[#This Row],[pos2.0119]],pointstable[],2,FALSE)</f>
        <v>0</v>
      </c>
      <c r="O103" s="5">
        <f>IFERROR(VLOOKUP(U14Mruns[[#This Row],[Card]],results0121[],3,FALSE),999)</f>
        <v>69</v>
      </c>
      <c r="P103" s="5">
        <f>VLOOKUP(U14Mruns[[#This Row],[pos0121]],pointstable[],2,FALSE)</f>
        <v>0</v>
      </c>
      <c r="Q103" s="5">
        <f>IFERROR(VLOOKUP(U14Mruns[[#This Row],[Card]],results0118[],4,FALSE),999)</f>
        <v>78</v>
      </c>
      <c r="R103" s="5">
        <f>VLOOKUP(U14Mruns[[#This Row],[pos1.0118]],pointstable[],2,FALSE)</f>
        <v>0</v>
      </c>
      <c r="S103" s="5">
        <f>IFERROR(VLOOKUP(U14Mruns[[#This Row],[Card]],results0118[],5,FALSE),999)</f>
        <v>70</v>
      </c>
      <c r="T103" s="5">
        <f>VLOOKUP(U14Mruns[[#This Row],[pos2.0118]],pointstable[],2,FALSE)</f>
        <v>0</v>
      </c>
      <c r="U103" s="5">
        <f>IFERROR(VLOOKUP(U14Mruns[[#This Row],[Card]],results0123[],4,FALSE),999)</f>
        <v>999</v>
      </c>
      <c r="V103" s="5">
        <f>VLOOKUP(U14Mruns[[#This Row],[pos1.0123]],pointstable[],2,FALSE)</f>
        <v>0</v>
      </c>
      <c r="W103" s="5">
        <f>IFERROR(VLOOKUP(U14Mruns[[#This Row],[Card]],results0123[],5,FALSE),999)</f>
        <v>999</v>
      </c>
      <c r="X103" s="5">
        <f>VLOOKUP(U14Mruns[[#This Row],[pos2.0123]],pointstable[],2,FALSE)</f>
        <v>0</v>
      </c>
      <c r="Y103" s="5">
        <f>IFERROR(VLOOKUP(U14Mruns[[#This Row],[Card]],results0120[],4,FALSE),999)</f>
        <v>49</v>
      </c>
      <c r="Z103" s="5">
        <f>VLOOKUP(U14Mruns[[#This Row],[pos1.0120]],pointstable[],2,FALSE)</f>
        <v>11</v>
      </c>
      <c r="AA103" s="5">
        <f>IFERROR(VLOOKUP(U14Mruns[[#This Row],[Card]],results0120[],5,FALSE),999)</f>
        <v>53</v>
      </c>
      <c r="AB103" s="5">
        <f>VLOOKUP(U14Mruns[[#This Row],[pos2.0120]],pointstable[],2,FALSE)</f>
        <v>7</v>
      </c>
    </row>
    <row r="104" spans="1:28" x14ac:dyDescent="0.25">
      <c r="A104">
        <v>80692</v>
      </c>
      <c r="B104" s="5" t="s">
        <v>317</v>
      </c>
      <c r="C104" s="5" t="s">
        <v>31</v>
      </c>
      <c r="D104" s="5">
        <v>5</v>
      </c>
      <c r="E104" s="5">
        <f>MAX(U14Mruns[[#This Row],[pts1.0119]],U14Mruns[[#This Row],[pts2.0119]],U14Mruns[[#This Row],[pts1.0118]],U14Mruns[[#This Row],[pts2.0118]],U14Mruns[[#This Row],[pts1.0120]],U14Mruns[[#This Row],[pts2.0120]])</f>
        <v>0</v>
      </c>
      <c r="F104" s="5">
        <f>MAX(U14Mruns[[#This Row],[pts1.0117]],U14Mruns[[#This Row],[pts2.0117]],U14Mruns[[#This Row],[pts0121]],U14Mruns[[#This Row],[pts1.0123]],U14Mruns[[#This Row],[pts2.0123]])</f>
        <v>2</v>
      </c>
      <c r="G104" s="5">
        <f>IFERROR(VLOOKUP(U14Mruns[[#This Row],[Card]],results0117[],4,FALSE),999)</f>
        <v>73</v>
      </c>
      <c r="H104" s="5">
        <f>VLOOKUP(U14Mruns[[#This Row],[pos1.0117]],pointstable[],2,FALSE)</f>
        <v>0</v>
      </c>
      <c r="I104" s="5">
        <f>IFERROR(VLOOKUP(U14Mruns[[#This Row],[Card]],results0117[],5,FALSE),999)</f>
        <v>999</v>
      </c>
      <c r="J104" s="5">
        <f>VLOOKUP(U14Mruns[[#This Row],[pos2.0117]],pointstable[],2,FALSE)</f>
        <v>0</v>
      </c>
      <c r="K104" s="5">
        <f>IFERROR(VLOOKUP(U14Mruns[[#This Row],[Card]],results0119[],4,FALSE),999)</f>
        <v>999</v>
      </c>
      <c r="L104" s="5">
        <f>VLOOKUP(U14Mruns[[#This Row],[pos1.0119]],pointstable[],2,FALSE)</f>
        <v>0</v>
      </c>
      <c r="M104" s="5">
        <f>IFERROR(VLOOKUP(U14Mruns[[#This Row],[Card]],results0119[],5,FALSE),999)</f>
        <v>72</v>
      </c>
      <c r="N104" s="5">
        <f>VLOOKUP(U14Mruns[[#This Row],[pos2.0119]],pointstable[],2,FALSE)</f>
        <v>0</v>
      </c>
      <c r="O104" s="5">
        <f>IFERROR(VLOOKUP(U14Mruns[[#This Row],[Card]],results0121[],3,FALSE),999)</f>
        <v>999</v>
      </c>
      <c r="P104" s="5">
        <f>VLOOKUP(U14Mruns[[#This Row],[pos0121]],pointstable[],2,FALSE)</f>
        <v>0</v>
      </c>
      <c r="Q104" s="5">
        <f>IFERROR(VLOOKUP(U14Mruns[[#This Row],[Card]],results0118[],4,FALSE),999)</f>
        <v>62</v>
      </c>
      <c r="R104" s="5">
        <f>VLOOKUP(U14Mruns[[#This Row],[pos1.0118]],pointstable[],2,FALSE)</f>
        <v>0</v>
      </c>
      <c r="S104" s="5">
        <f>IFERROR(VLOOKUP(U14Mruns[[#This Row],[Card]],results0118[],5,FALSE),999)</f>
        <v>72</v>
      </c>
      <c r="T104" s="5">
        <f>VLOOKUP(U14Mruns[[#This Row],[pos2.0118]],pointstable[],2,FALSE)</f>
        <v>0</v>
      </c>
      <c r="U104" s="5">
        <f>IFERROR(VLOOKUP(U14Mruns[[#This Row],[Card]],results0123[],4,FALSE),999)</f>
        <v>79</v>
      </c>
      <c r="V104" s="5">
        <f>VLOOKUP(U14Mruns[[#This Row],[pos1.0123]],pointstable[],2,FALSE)</f>
        <v>0</v>
      </c>
      <c r="W104" s="5">
        <f>IFERROR(VLOOKUP(U14Mruns[[#This Row],[Card]],results0123[],5,FALSE),999)</f>
        <v>58</v>
      </c>
      <c r="X104" s="5">
        <f>VLOOKUP(U14Mruns[[#This Row],[pos2.0123]],pointstable[],2,FALSE)</f>
        <v>2</v>
      </c>
      <c r="Y104" s="5">
        <f>IFERROR(VLOOKUP(U14Mruns[[#This Row],[Card]],results0120[],4,FALSE),999)</f>
        <v>64</v>
      </c>
      <c r="Z104" s="5">
        <f>VLOOKUP(U14Mruns[[#This Row],[pos1.0120]],pointstable[],2,FALSE)</f>
        <v>0</v>
      </c>
      <c r="AA104" s="5">
        <f>IFERROR(VLOOKUP(U14Mruns[[#This Row],[Card]],results0120[],5,FALSE),999)</f>
        <v>62</v>
      </c>
      <c r="AB104" s="5">
        <f>VLOOKUP(U14Mruns[[#This Row],[pos2.0120]],pointstable[],2,FALSE)</f>
        <v>0</v>
      </c>
    </row>
    <row r="105" spans="1:28" x14ac:dyDescent="0.25">
      <c r="A105">
        <v>81505</v>
      </c>
      <c r="B105" s="5" t="s">
        <v>315</v>
      </c>
      <c r="C105" s="5" t="s">
        <v>22</v>
      </c>
      <c r="D105" s="5">
        <v>5</v>
      </c>
      <c r="E105" s="5">
        <f>MAX(U14Mruns[[#This Row],[pts1.0119]],U14Mruns[[#This Row],[pts2.0119]],U14Mruns[[#This Row],[pts1.0118]],U14Mruns[[#This Row],[pts2.0118]],U14Mruns[[#This Row],[pts1.0120]],U14Mruns[[#This Row],[pts2.0120]])</f>
        <v>10</v>
      </c>
      <c r="F105" s="5">
        <f>MAX(U14Mruns[[#This Row],[pts1.0117]],U14Mruns[[#This Row],[pts2.0117]],U14Mruns[[#This Row],[pts0121]],U14Mruns[[#This Row],[pts1.0123]],U14Mruns[[#This Row],[pts2.0123]])</f>
        <v>0</v>
      </c>
      <c r="G105" s="5">
        <f>IFERROR(VLOOKUP(U14Mruns[[#This Row],[Card]],results0117[],4,FALSE),999)</f>
        <v>81</v>
      </c>
      <c r="H105" s="5">
        <f>VLOOKUP(U14Mruns[[#This Row],[pos1.0117]],pointstable[],2,FALSE)</f>
        <v>0</v>
      </c>
      <c r="I105" s="5">
        <f>IFERROR(VLOOKUP(U14Mruns[[#This Row],[Card]],results0117[],5,FALSE),999)</f>
        <v>77</v>
      </c>
      <c r="J105" s="5">
        <f>VLOOKUP(U14Mruns[[#This Row],[pos2.0117]],pointstable[],2,FALSE)</f>
        <v>0</v>
      </c>
      <c r="K105" s="5">
        <f>IFERROR(VLOOKUP(U14Mruns[[#This Row],[Card]],results0119[],4,FALSE),999)</f>
        <v>999</v>
      </c>
      <c r="L105" s="5">
        <f>VLOOKUP(U14Mruns[[#This Row],[pos1.0119]],pointstable[],2,FALSE)</f>
        <v>0</v>
      </c>
      <c r="M105" s="5">
        <f>IFERROR(VLOOKUP(U14Mruns[[#This Row],[Card]],results0119[],5,FALSE),999)</f>
        <v>83</v>
      </c>
      <c r="N105" s="5">
        <f>VLOOKUP(U14Mruns[[#This Row],[pos2.0119]],pointstable[],2,FALSE)</f>
        <v>0</v>
      </c>
      <c r="O105" s="5">
        <f>IFERROR(VLOOKUP(U14Mruns[[#This Row],[Card]],results0121[],3,FALSE),999)</f>
        <v>74</v>
      </c>
      <c r="P105" s="5">
        <f>VLOOKUP(U14Mruns[[#This Row],[pos0121]],pointstable[],2,FALSE)</f>
        <v>0</v>
      </c>
      <c r="Q105" s="5">
        <f>IFERROR(VLOOKUP(U14Mruns[[#This Row],[Card]],results0118[],4,FALSE),999)</f>
        <v>86</v>
      </c>
      <c r="R105" s="5">
        <f>VLOOKUP(U14Mruns[[#This Row],[pos1.0118]],pointstable[],2,FALSE)</f>
        <v>0</v>
      </c>
      <c r="S105" s="5">
        <f>IFERROR(VLOOKUP(U14Mruns[[#This Row],[Card]],results0118[],5,FALSE),999)</f>
        <v>89</v>
      </c>
      <c r="T105" s="5">
        <f>VLOOKUP(U14Mruns[[#This Row],[pos2.0118]],pointstable[],2,FALSE)</f>
        <v>0</v>
      </c>
      <c r="U105" s="5">
        <f>IFERROR(VLOOKUP(U14Mruns[[#This Row],[Card]],results0123[],4,FALSE),999)</f>
        <v>76</v>
      </c>
      <c r="V105" s="5">
        <f>VLOOKUP(U14Mruns[[#This Row],[pos1.0123]],pointstable[],2,FALSE)</f>
        <v>0</v>
      </c>
      <c r="W105" s="5">
        <f>IFERROR(VLOOKUP(U14Mruns[[#This Row],[Card]],results0123[],5,FALSE),999)</f>
        <v>84</v>
      </c>
      <c r="X105" s="5">
        <f>VLOOKUP(U14Mruns[[#This Row],[pos2.0123]],pointstable[],2,FALSE)</f>
        <v>0</v>
      </c>
      <c r="Y105" s="5">
        <f>IFERROR(VLOOKUP(U14Mruns[[#This Row],[Card]],results0120[],4,FALSE),999)</f>
        <v>50</v>
      </c>
      <c r="Z105" s="5">
        <f>VLOOKUP(U14Mruns[[#This Row],[pos1.0120]],pointstable[],2,FALSE)</f>
        <v>10</v>
      </c>
      <c r="AA105" s="5">
        <f>IFERROR(VLOOKUP(U14Mruns[[#This Row],[Card]],results0120[],5,FALSE),999)</f>
        <v>68</v>
      </c>
      <c r="AB105" s="5">
        <f>VLOOKUP(U14Mruns[[#This Row],[pos2.0120]],pointstable[],2,FALSE)</f>
        <v>0</v>
      </c>
    </row>
    <row r="106" spans="1:28" x14ac:dyDescent="0.25">
      <c r="A106">
        <v>78504</v>
      </c>
      <c r="B106" t="s">
        <v>210</v>
      </c>
      <c r="C106" t="s">
        <v>19</v>
      </c>
      <c r="D106">
        <v>5</v>
      </c>
      <c r="E106" s="5">
        <f>MAX(U14Mruns[[#This Row],[pts1.0119]],U14Mruns[[#This Row],[pts2.0119]],U14Mruns[[#This Row],[pts1.0118]],U14Mruns[[#This Row],[pts2.0118]],U14Mruns[[#This Row],[pts1.0120]],U14Mruns[[#This Row],[pts2.0120]])</f>
        <v>0</v>
      </c>
      <c r="F106" s="5">
        <f>MAX(U14Mruns[[#This Row],[pts1.0117]],U14Mruns[[#This Row],[pts2.0117]],U14Mruns[[#This Row],[pts0121]],U14Mruns[[#This Row],[pts1.0123]],U14Mruns[[#This Row],[pts2.0123]])</f>
        <v>0</v>
      </c>
      <c r="G106" s="5">
        <f>IFERROR(VLOOKUP(U14Mruns[[#This Row],[Card]],results0117[],4,FALSE),999)</f>
        <v>93</v>
      </c>
      <c r="H106" s="5">
        <f>VLOOKUP(U14Mruns[[#This Row],[pos1.0117]],pointstable[],2,FALSE)</f>
        <v>0</v>
      </c>
      <c r="I106" s="5">
        <f>IFERROR(VLOOKUP(U14Mruns[[#This Row],[Card]],results0117[],5,FALSE),999)</f>
        <v>999</v>
      </c>
      <c r="J106" s="5">
        <f>VLOOKUP(U14Mruns[[#This Row],[pos2.0117]],pointstable[],2,FALSE)</f>
        <v>0</v>
      </c>
      <c r="K106" s="5">
        <f>IFERROR(VLOOKUP(U14Mruns[[#This Row],[Card]],results0119[],4,FALSE),999)</f>
        <v>68</v>
      </c>
      <c r="L106" s="5">
        <f>VLOOKUP(U14Mruns[[#This Row],[pos1.0119]],pointstable[],2,FALSE)</f>
        <v>0</v>
      </c>
      <c r="M106" s="5">
        <f>IFERROR(VLOOKUP(U14Mruns[[#This Row],[Card]],results0119[],5,FALSE),999)</f>
        <v>94</v>
      </c>
      <c r="N106" s="5">
        <f>VLOOKUP(U14Mruns[[#This Row],[pos2.0119]],pointstable[],2,FALSE)</f>
        <v>0</v>
      </c>
      <c r="O106" s="5">
        <f>IFERROR(VLOOKUP(U14Mruns[[#This Row],[Card]],results0121[],3,FALSE),999)</f>
        <v>72</v>
      </c>
      <c r="P106" s="5">
        <f>VLOOKUP(U14Mruns[[#This Row],[pos0121]],pointstable[],2,FALSE)</f>
        <v>0</v>
      </c>
      <c r="Q106" s="5">
        <f>IFERROR(VLOOKUP(U14Mruns[[#This Row],[Card]],results0118[],4,FALSE),999)</f>
        <v>83</v>
      </c>
      <c r="R106" s="5">
        <f>VLOOKUP(U14Mruns[[#This Row],[pos1.0118]],pointstable[],2,FALSE)</f>
        <v>0</v>
      </c>
      <c r="S106" s="5">
        <f>IFERROR(VLOOKUP(U14Mruns[[#This Row],[Card]],results0118[],5,FALSE),999)</f>
        <v>83</v>
      </c>
      <c r="T106" s="5">
        <f>VLOOKUP(U14Mruns[[#This Row],[pos2.0118]],pointstable[],2,FALSE)</f>
        <v>0</v>
      </c>
      <c r="U106" s="5">
        <f>IFERROR(VLOOKUP(U14Mruns[[#This Row],[Card]],results0123[],4,FALSE),999)</f>
        <v>84</v>
      </c>
      <c r="V106" s="5">
        <f>VLOOKUP(U14Mruns[[#This Row],[pos1.0123]],pointstable[],2,FALSE)</f>
        <v>0</v>
      </c>
      <c r="W106" s="5">
        <f>IFERROR(VLOOKUP(U14Mruns[[#This Row],[Card]],results0123[],5,FALSE),999)</f>
        <v>86</v>
      </c>
      <c r="X106" s="5">
        <f>VLOOKUP(U14Mruns[[#This Row],[pos2.0123]],pointstable[],2,FALSE)</f>
        <v>0</v>
      </c>
      <c r="Y106" s="5">
        <f>IFERROR(VLOOKUP(U14Mruns[[#This Row],[Card]],results0120[],4,FALSE),999)</f>
        <v>999</v>
      </c>
      <c r="Z106" s="5">
        <f>VLOOKUP(U14Mruns[[#This Row],[pos1.0120]],pointstable[],2,FALSE)</f>
        <v>0</v>
      </c>
      <c r="AA106" s="5">
        <f>IFERROR(VLOOKUP(U14Mruns[[#This Row],[Card]],results0120[],5,FALSE),999)</f>
        <v>999</v>
      </c>
      <c r="AB106" s="5">
        <f>VLOOKUP(U14Mruns[[#This Row],[pos2.0120]],pointstable[],2,FALSE)</f>
        <v>0</v>
      </c>
    </row>
    <row r="107" spans="1:28" x14ac:dyDescent="0.25">
      <c r="A107">
        <v>81801</v>
      </c>
      <c r="B107" t="s">
        <v>208</v>
      </c>
      <c r="C107" t="s">
        <v>61</v>
      </c>
      <c r="D107">
        <v>5</v>
      </c>
      <c r="E107" s="5">
        <f>MAX(U14Mruns[[#This Row],[pts1.0119]],U14Mruns[[#This Row],[pts2.0119]],U14Mruns[[#This Row],[pts1.0118]],U14Mruns[[#This Row],[pts2.0118]],U14Mruns[[#This Row],[pts1.0120]],U14Mruns[[#This Row],[pts2.0120]])</f>
        <v>1</v>
      </c>
      <c r="F107" s="5">
        <f>MAX(U14Mruns[[#This Row],[pts1.0117]],U14Mruns[[#This Row],[pts2.0117]],U14Mruns[[#This Row],[pts0121]],U14Mruns[[#This Row],[pts1.0123]],U14Mruns[[#This Row],[pts2.0123]])</f>
        <v>0</v>
      </c>
      <c r="G107" s="5">
        <f>IFERROR(VLOOKUP(U14Mruns[[#This Row],[Card]],results0117[],4,FALSE),999)</f>
        <v>92</v>
      </c>
      <c r="H107" s="5">
        <f>VLOOKUP(U14Mruns[[#This Row],[pos1.0117]],pointstable[],2,FALSE)</f>
        <v>0</v>
      </c>
      <c r="I107" s="5">
        <f>IFERROR(VLOOKUP(U14Mruns[[#This Row],[Card]],results0117[],5,FALSE),999)</f>
        <v>91</v>
      </c>
      <c r="J107" s="5">
        <f>VLOOKUP(U14Mruns[[#This Row],[pos2.0117]],pointstable[],2,FALSE)</f>
        <v>0</v>
      </c>
      <c r="K107" s="5">
        <f>IFERROR(VLOOKUP(U14Mruns[[#This Row],[Card]],results0119[],4,FALSE),999)</f>
        <v>67</v>
      </c>
      <c r="L107" s="5">
        <f>VLOOKUP(U14Mruns[[#This Row],[pos1.0119]],pointstable[],2,FALSE)</f>
        <v>0</v>
      </c>
      <c r="M107" s="5">
        <f>IFERROR(VLOOKUP(U14Mruns[[#This Row],[Card]],results0119[],5,FALSE),999)</f>
        <v>95</v>
      </c>
      <c r="N107" s="5">
        <f>VLOOKUP(U14Mruns[[#This Row],[pos2.0119]],pointstable[],2,FALSE)</f>
        <v>0</v>
      </c>
      <c r="O107" s="5">
        <f>IFERROR(VLOOKUP(U14Mruns[[#This Row],[Card]],results0121[],3,FALSE),999)</f>
        <v>75</v>
      </c>
      <c r="P107" s="5">
        <f>VLOOKUP(U14Mruns[[#This Row],[pos0121]],pointstable[],2,FALSE)</f>
        <v>0</v>
      </c>
      <c r="Q107" s="5">
        <f>IFERROR(VLOOKUP(U14Mruns[[#This Row],[Card]],results0118[],4,FALSE),999)</f>
        <v>87</v>
      </c>
      <c r="R107" s="5">
        <f>VLOOKUP(U14Mruns[[#This Row],[pos1.0118]],pointstable[],2,FALSE)</f>
        <v>0</v>
      </c>
      <c r="S107" s="5">
        <f>IFERROR(VLOOKUP(U14Mruns[[#This Row],[Card]],results0118[],5,FALSE),999)</f>
        <v>90</v>
      </c>
      <c r="T107" s="5">
        <f>VLOOKUP(U14Mruns[[#This Row],[pos2.0118]],pointstable[],2,FALSE)</f>
        <v>0</v>
      </c>
      <c r="U107" s="5">
        <f>IFERROR(VLOOKUP(U14Mruns[[#This Row],[Card]],results0123[],4,FALSE),999)</f>
        <v>94</v>
      </c>
      <c r="V107" s="5">
        <f>VLOOKUP(U14Mruns[[#This Row],[pos1.0123]],pointstable[],2,FALSE)</f>
        <v>0</v>
      </c>
      <c r="W107" s="5">
        <f>IFERROR(VLOOKUP(U14Mruns[[#This Row],[Card]],results0123[],5,FALSE),999)</f>
        <v>87</v>
      </c>
      <c r="X107" s="5">
        <f>VLOOKUP(U14Mruns[[#This Row],[pos2.0123]],pointstable[],2,FALSE)</f>
        <v>0</v>
      </c>
      <c r="Y107" s="5">
        <f>IFERROR(VLOOKUP(U14Mruns[[#This Row],[Card]],results0120[],4,FALSE),999)</f>
        <v>59</v>
      </c>
      <c r="Z107" s="5">
        <f>VLOOKUP(U14Mruns[[#This Row],[pos1.0120]],pointstable[],2,FALSE)</f>
        <v>1</v>
      </c>
      <c r="AA107" s="5">
        <f>IFERROR(VLOOKUP(U14Mruns[[#This Row],[Card]],results0120[],5,FALSE),999)</f>
        <v>74</v>
      </c>
      <c r="AB107" s="5">
        <f>VLOOKUP(U14Mruns[[#This Row],[pos2.0120]],pointstable[],2,FALSE)</f>
        <v>0</v>
      </c>
    </row>
    <row r="108" spans="1:28" x14ac:dyDescent="0.25">
      <c r="A108">
        <v>81880</v>
      </c>
      <c r="B108" t="s">
        <v>212</v>
      </c>
      <c r="C108" t="s">
        <v>61</v>
      </c>
      <c r="D108">
        <v>5</v>
      </c>
      <c r="E108" s="5">
        <f>MAX(U14Mruns[[#This Row],[pts1.0119]],U14Mruns[[#This Row],[pts2.0119]],U14Mruns[[#This Row],[pts1.0118]],U14Mruns[[#This Row],[pts2.0118]],U14Mruns[[#This Row],[pts1.0120]],U14Mruns[[#This Row],[pts2.0120]])</f>
        <v>0</v>
      </c>
      <c r="F108" s="5">
        <f>MAX(U14Mruns[[#This Row],[pts1.0117]],U14Mruns[[#This Row],[pts2.0117]],U14Mruns[[#This Row],[pts0121]],U14Mruns[[#This Row],[pts1.0123]],U14Mruns[[#This Row],[pts2.0123]])</f>
        <v>0</v>
      </c>
      <c r="G108" s="5">
        <f>IFERROR(VLOOKUP(U14Mruns[[#This Row],[Card]],results0117[],4,FALSE),999)</f>
        <v>95</v>
      </c>
      <c r="H108" s="5">
        <f>VLOOKUP(U14Mruns[[#This Row],[pos1.0117]],pointstable[],2,FALSE)</f>
        <v>0</v>
      </c>
      <c r="I108" s="5">
        <f>IFERROR(VLOOKUP(U14Mruns[[#This Row],[Card]],results0117[],5,FALSE),999)</f>
        <v>999</v>
      </c>
      <c r="J108" s="5">
        <f>VLOOKUP(U14Mruns[[#This Row],[pos2.0117]],pointstable[],2,FALSE)</f>
        <v>0</v>
      </c>
      <c r="K108" s="5">
        <f>IFERROR(VLOOKUP(U14Mruns[[#This Row],[Card]],results0119[],4,FALSE),999)</f>
        <v>999</v>
      </c>
      <c r="L108" s="5">
        <f>VLOOKUP(U14Mruns[[#This Row],[pos1.0119]],pointstable[],2,FALSE)</f>
        <v>0</v>
      </c>
      <c r="M108" s="5">
        <f>IFERROR(VLOOKUP(U14Mruns[[#This Row],[Card]],results0119[],5,FALSE),999)</f>
        <v>97</v>
      </c>
      <c r="N108" s="5">
        <f>VLOOKUP(U14Mruns[[#This Row],[pos2.0119]],pointstable[],2,FALSE)</f>
        <v>0</v>
      </c>
      <c r="O108" s="5">
        <f>IFERROR(VLOOKUP(U14Mruns[[#This Row],[Card]],results0121[],3,FALSE),999)</f>
        <v>77</v>
      </c>
      <c r="P108" s="5">
        <f>VLOOKUP(U14Mruns[[#This Row],[pos0121]],pointstable[],2,FALSE)</f>
        <v>0</v>
      </c>
      <c r="Q108" s="5">
        <f>IFERROR(VLOOKUP(U14Mruns[[#This Row],[Card]],results0118[],4,FALSE),999)</f>
        <v>97</v>
      </c>
      <c r="R108" s="5">
        <f>VLOOKUP(U14Mruns[[#This Row],[pos1.0118]],pointstable[],2,FALSE)</f>
        <v>0</v>
      </c>
      <c r="S108" s="5">
        <f>IFERROR(VLOOKUP(U14Mruns[[#This Row],[Card]],results0118[],5,FALSE),999)</f>
        <v>93</v>
      </c>
      <c r="T108" s="5">
        <f>VLOOKUP(U14Mruns[[#This Row],[pos2.0118]],pointstable[],2,FALSE)</f>
        <v>0</v>
      </c>
      <c r="U108" s="5">
        <f>IFERROR(VLOOKUP(U14Mruns[[#This Row],[Card]],results0123[],4,FALSE),999)</f>
        <v>98</v>
      </c>
      <c r="V108" s="5">
        <f>VLOOKUP(U14Mruns[[#This Row],[pos1.0123]],pointstable[],2,FALSE)</f>
        <v>0</v>
      </c>
      <c r="W108" s="5">
        <f>IFERROR(VLOOKUP(U14Mruns[[#This Row],[Card]],results0123[],5,FALSE),999)</f>
        <v>89</v>
      </c>
      <c r="X108" s="5">
        <f>VLOOKUP(U14Mruns[[#This Row],[pos2.0123]],pointstable[],2,FALSE)</f>
        <v>0</v>
      </c>
      <c r="Y108" s="5">
        <f>IFERROR(VLOOKUP(U14Mruns[[#This Row],[Card]],results0120[],4,FALSE),999)</f>
        <v>72</v>
      </c>
      <c r="Z108" s="5">
        <f>VLOOKUP(U14Mruns[[#This Row],[pos1.0120]],pointstable[],2,FALSE)</f>
        <v>0</v>
      </c>
      <c r="AA108" s="5">
        <f>IFERROR(VLOOKUP(U14Mruns[[#This Row],[Card]],results0120[],5,FALSE),999)</f>
        <v>999</v>
      </c>
      <c r="AB108" s="5">
        <f>VLOOKUP(U14Mruns[[#This Row],[pos2.0120]],pointstable[],2,FALSE)</f>
        <v>0</v>
      </c>
    </row>
    <row r="109" spans="1:28" x14ac:dyDescent="0.25">
      <c r="A109">
        <v>82143</v>
      </c>
      <c r="B109" t="s">
        <v>111</v>
      </c>
      <c r="C109" t="s">
        <v>112</v>
      </c>
      <c r="D109">
        <v>5</v>
      </c>
      <c r="E109" s="5">
        <f>MAX(U14Mruns[[#This Row],[pts1.0119]],U14Mruns[[#This Row],[pts2.0119]],U14Mruns[[#This Row],[pts1.0118]],U14Mruns[[#This Row],[pts2.0118]],U14Mruns[[#This Row],[pts1.0120]],U14Mruns[[#This Row],[pts2.0120]])</f>
        <v>0</v>
      </c>
      <c r="F109" s="5">
        <f>MAX(U14Mruns[[#This Row],[pts1.0117]],U14Mruns[[#This Row],[pts2.0117]],U14Mruns[[#This Row],[pts0121]],U14Mruns[[#This Row],[pts1.0123]],U14Mruns[[#This Row],[pts2.0123]])</f>
        <v>0</v>
      </c>
      <c r="G109" s="5">
        <f>IFERROR(VLOOKUP(U14Mruns[[#This Row],[Card]],results0117[],4,FALSE),999)</f>
        <v>999</v>
      </c>
      <c r="H109" s="5">
        <f>VLOOKUP(U14Mruns[[#This Row],[pos1.0117]],pointstable[],2,FALSE)</f>
        <v>0</v>
      </c>
      <c r="I109" s="5">
        <f>IFERROR(VLOOKUP(U14Mruns[[#This Row],[Card]],results0117[],5,FALSE),999)</f>
        <v>999</v>
      </c>
      <c r="J109" s="5">
        <f>VLOOKUP(U14Mruns[[#This Row],[pos2.0117]],pointstable[],2,FALSE)</f>
        <v>0</v>
      </c>
      <c r="K109" s="5">
        <f>IFERROR(VLOOKUP(U14Mruns[[#This Row],[Card]],results0119[],4,FALSE),999)</f>
        <v>999</v>
      </c>
      <c r="L109" s="5">
        <f>VLOOKUP(U14Mruns[[#This Row],[pos1.0119]],pointstable[],2,FALSE)</f>
        <v>0</v>
      </c>
      <c r="M109" s="5">
        <f>IFERROR(VLOOKUP(U14Mruns[[#This Row],[Card]],results0119[],5,FALSE),999)</f>
        <v>999</v>
      </c>
      <c r="N109" s="5">
        <f>VLOOKUP(U14Mruns[[#This Row],[pos2.0119]],pointstable[],2,FALSE)</f>
        <v>0</v>
      </c>
      <c r="O109" s="5">
        <f>IFERROR(VLOOKUP(U14Mruns[[#This Row],[Card]],results0121[],3,FALSE),999)</f>
        <v>999</v>
      </c>
      <c r="P109" s="5">
        <f>VLOOKUP(U14Mruns[[#This Row],[pos0121]],pointstable[],2,FALSE)</f>
        <v>0</v>
      </c>
      <c r="Q109" s="5">
        <f>IFERROR(VLOOKUP(U14Mruns[[#This Row],[Card]],results0118[],4,FALSE),999)</f>
        <v>999</v>
      </c>
      <c r="R109" s="5">
        <f>VLOOKUP(U14Mruns[[#This Row],[pos1.0118]],pointstable[],2,FALSE)</f>
        <v>0</v>
      </c>
      <c r="S109" s="5">
        <f>IFERROR(VLOOKUP(U14Mruns[[#This Row],[Card]],results0118[],5,FALSE),999)</f>
        <v>999</v>
      </c>
      <c r="T109" s="5">
        <f>VLOOKUP(U14Mruns[[#This Row],[pos2.0118]],pointstable[],2,FALSE)</f>
        <v>0</v>
      </c>
      <c r="U109" s="5">
        <f>IFERROR(VLOOKUP(U14Mruns[[#This Row],[Card]],results0123[],4,FALSE),999)</f>
        <v>999</v>
      </c>
      <c r="V109" s="5">
        <f>VLOOKUP(U14Mruns[[#This Row],[pos1.0123]],pointstable[],2,FALSE)</f>
        <v>0</v>
      </c>
      <c r="W109" s="5">
        <f>IFERROR(VLOOKUP(U14Mruns[[#This Row],[Card]],results0123[],5,FALSE),999)</f>
        <v>999</v>
      </c>
      <c r="X109" s="5">
        <f>VLOOKUP(U14Mruns[[#This Row],[pos2.0123]],pointstable[],2,FALSE)</f>
        <v>0</v>
      </c>
      <c r="Y109" s="5">
        <f>IFERROR(VLOOKUP(U14Mruns[[#This Row],[Card]],results0120[],4,FALSE),999)</f>
        <v>999</v>
      </c>
      <c r="Z109" s="5">
        <f>VLOOKUP(U14Mruns[[#This Row],[pos1.0120]],pointstable[],2,FALSE)</f>
        <v>0</v>
      </c>
      <c r="AA109" s="5">
        <f>IFERROR(VLOOKUP(U14Mruns[[#This Row],[Card]],results0120[],5,FALSE),999)</f>
        <v>999</v>
      </c>
      <c r="AB109" s="5">
        <f>VLOOKUP(U14Mruns[[#This Row],[pos2.0120]],pointstable[],2,FALSE)</f>
        <v>0</v>
      </c>
    </row>
    <row r="110" spans="1:28" x14ac:dyDescent="0.25">
      <c r="A110">
        <v>88391</v>
      </c>
      <c r="B110" s="5" t="s">
        <v>284</v>
      </c>
      <c r="C110" s="5" t="s">
        <v>155</v>
      </c>
      <c r="D110">
        <v>5</v>
      </c>
      <c r="E110" s="5">
        <f>MAX(U14Mruns[[#This Row],[pts1.0119]],U14Mruns[[#This Row],[pts2.0119]],U14Mruns[[#This Row],[pts1.0118]],U14Mruns[[#This Row],[pts2.0118]],U14Mruns[[#This Row],[pts1.0120]],U14Mruns[[#This Row],[pts2.0120]])</f>
        <v>0</v>
      </c>
      <c r="F110" s="5">
        <f>MAX(U14Mruns[[#This Row],[pts1.0117]],U14Mruns[[#This Row],[pts2.0117]],U14Mruns[[#This Row],[pts0121]],U14Mruns[[#This Row],[pts1.0123]],U14Mruns[[#This Row],[pts2.0123]])</f>
        <v>0</v>
      </c>
      <c r="G110" s="5">
        <f>IFERROR(VLOOKUP(U14Mruns[[#This Row],[Card]],results0117[],4,FALSE),999)</f>
        <v>999</v>
      </c>
      <c r="H110" s="5">
        <f>VLOOKUP(U14Mruns[[#This Row],[pos1.0117]],pointstable[],2,FALSE)</f>
        <v>0</v>
      </c>
      <c r="I110" s="5">
        <f>IFERROR(VLOOKUP(U14Mruns[[#This Row],[Card]],results0117[],5,FALSE),999)</f>
        <v>999</v>
      </c>
      <c r="J110" s="5">
        <f>VLOOKUP(U14Mruns[[#This Row],[pos2.0117]],pointstable[],2,FALSE)</f>
        <v>0</v>
      </c>
      <c r="K110" s="5">
        <f>IFERROR(VLOOKUP(U14Mruns[[#This Row],[Card]],results0119[],4,FALSE),999)</f>
        <v>999</v>
      </c>
      <c r="L110" s="5">
        <f>VLOOKUP(U14Mruns[[#This Row],[pos1.0119]],pointstable[],2,FALSE)</f>
        <v>0</v>
      </c>
      <c r="M110" s="5">
        <f>IFERROR(VLOOKUP(U14Mruns[[#This Row],[Card]],results0119[],5,FALSE),999)</f>
        <v>999</v>
      </c>
      <c r="N110" s="5">
        <f>VLOOKUP(U14Mruns[[#This Row],[pos2.0119]],pointstable[],2,FALSE)</f>
        <v>0</v>
      </c>
      <c r="O110" s="5">
        <f>IFERROR(VLOOKUP(U14Mruns[[#This Row],[Card]],results0121[],3,FALSE),999)</f>
        <v>76</v>
      </c>
      <c r="P110" s="5">
        <f>VLOOKUP(U14Mruns[[#This Row],[pos0121]],pointstable[],2,FALSE)</f>
        <v>0</v>
      </c>
      <c r="Q110" s="5">
        <f>IFERROR(VLOOKUP(U14Mruns[[#This Row],[Card]],results0118[],4,FALSE),999)</f>
        <v>80</v>
      </c>
      <c r="R110" s="5">
        <f>VLOOKUP(U14Mruns[[#This Row],[pos1.0118]],pointstable[],2,FALSE)</f>
        <v>0</v>
      </c>
      <c r="S110" s="5">
        <f>IFERROR(VLOOKUP(U14Mruns[[#This Row],[Card]],results0118[],5,FALSE),999)</f>
        <v>73</v>
      </c>
      <c r="T110" s="5">
        <f>VLOOKUP(U14Mruns[[#This Row],[pos2.0118]],pointstable[],2,FALSE)</f>
        <v>0</v>
      </c>
      <c r="U110" s="5">
        <f>IFERROR(VLOOKUP(U14Mruns[[#This Row],[Card]],results0123[],4,FALSE),999)</f>
        <v>99</v>
      </c>
      <c r="V110" s="5">
        <f>VLOOKUP(U14Mruns[[#This Row],[pos1.0123]],pointstable[],2,FALSE)</f>
        <v>0</v>
      </c>
      <c r="W110" s="5">
        <f>IFERROR(VLOOKUP(U14Mruns[[#This Row],[Card]],results0123[],5,FALSE),999)</f>
        <v>66</v>
      </c>
      <c r="X110" s="5">
        <f>VLOOKUP(U14Mruns[[#This Row],[pos2.0123]],pointstable[],2,FALSE)</f>
        <v>0</v>
      </c>
      <c r="Y110" s="5">
        <f>IFERROR(VLOOKUP(U14Mruns[[#This Row],[Card]],results0120[],4,FALSE),999)</f>
        <v>999</v>
      </c>
      <c r="Z110" s="5">
        <f>VLOOKUP(U14Mruns[[#This Row],[pos1.0120]],pointstable[],2,FALSE)</f>
        <v>0</v>
      </c>
      <c r="AA110" s="5">
        <f>IFERROR(VLOOKUP(U14Mruns[[#This Row],[Card]],results0120[],5,FALSE),999)</f>
        <v>999</v>
      </c>
      <c r="AB110" s="5">
        <f>VLOOKUP(U14Mruns[[#This Row],[pos2.0120]],pointstable[],2,FALSE)</f>
        <v>0</v>
      </c>
    </row>
    <row r="111" spans="1:28" x14ac:dyDescent="0.25">
      <c r="A111">
        <v>88381</v>
      </c>
      <c r="B111" t="s">
        <v>181</v>
      </c>
      <c r="C111" t="s">
        <v>47</v>
      </c>
      <c r="D111">
        <v>5</v>
      </c>
      <c r="E111" s="5">
        <f>MAX(U14Mruns[[#This Row],[pts1.0119]],U14Mruns[[#This Row],[pts2.0119]],U14Mruns[[#This Row],[pts1.0118]],U14Mruns[[#This Row],[pts2.0118]],U14Mruns[[#This Row],[pts1.0120]],U14Mruns[[#This Row],[pts2.0120]])</f>
        <v>6</v>
      </c>
      <c r="F111" s="5">
        <f>MAX(U14Mruns[[#This Row],[pts1.0117]],U14Mruns[[#This Row],[pts2.0117]],U14Mruns[[#This Row],[pts0121]],U14Mruns[[#This Row],[pts1.0123]],U14Mruns[[#This Row],[pts2.0123]])</f>
        <v>0</v>
      </c>
      <c r="G111" s="5">
        <f>IFERROR(VLOOKUP(U14Mruns[[#This Row],[Card]],results0117[],4,FALSE),999)</f>
        <v>83</v>
      </c>
      <c r="H111" s="5">
        <f>VLOOKUP(U14Mruns[[#This Row],[pos1.0117]],pointstable[],2,FALSE)</f>
        <v>0</v>
      </c>
      <c r="I111" s="5">
        <f>IFERROR(VLOOKUP(U14Mruns[[#This Row],[Card]],results0117[],5,FALSE),999)</f>
        <v>999</v>
      </c>
      <c r="J111" s="5">
        <f>VLOOKUP(U14Mruns[[#This Row],[pos2.0117]],pointstable[],2,FALSE)</f>
        <v>0</v>
      </c>
      <c r="K111" s="5">
        <f>IFERROR(VLOOKUP(U14Mruns[[#This Row],[Card]],results0119[],4,FALSE),999)</f>
        <v>65</v>
      </c>
      <c r="L111" s="5">
        <f>VLOOKUP(U14Mruns[[#This Row],[pos1.0119]],pointstable[],2,FALSE)</f>
        <v>0</v>
      </c>
      <c r="M111" s="5">
        <f>IFERROR(VLOOKUP(U14Mruns[[#This Row],[Card]],results0119[],5,FALSE),999)</f>
        <v>91</v>
      </c>
      <c r="N111" s="5">
        <f>VLOOKUP(U14Mruns[[#This Row],[pos2.0119]],pointstable[],2,FALSE)</f>
        <v>0</v>
      </c>
      <c r="O111" s="5">
        <f>IFERROR(VLOOKUP(U14Mruns[[#This Row],[Card]],results0121[],3,FALSE),999)</f>
        <v>999</v>
      </c>
      <c r="P111" s="5">
        <f>VLOOKUP(U14Mruns[[#This Row],[pos0121]],pointstable[],2,FALSE)</f>
        <v>0</v>
      </c>
      <c r="Q111" s="5">
        <f>IFERROR(VLOOKUP(U14Mruns[[#This Row],[Card]],results0118[],4,FALSE),999)</f>
        <v>89</v>
      </c>
      <c r="R111" s="5">
        <f>VLOOKUP(U14Mruns[[#This Row],[pos1.0118]],pointstable[],2,FALSE)</f>
        <v>0</v>
      </c>
      <c r="S111" s="5">
        <f>IFERROR(VLOOKUP(U14Mruns[[#This Row],[Card]],results0118[],5,FALSE),999)</f>
        <v>86</v>
      </c>
      <c r="T111" s="5">
        <f>VLOOKUP(U14Mruns[[#This Row],[pos2.0118]],pointstable[],2,FALSE)</f>
        <v>0</v>
      </c>
      <c r="U111" s="5">
        <f>IFERROR(VLOOKUP(U14Mruns[[#This Row],[Card]],results0123[],4,FALSE),999)</f>
        <v>88</v>
      </c>
      <c r="V111" s="5">
        <f>VLOOKUP(U14Mruns[[#This Row],[pos1.0123]],pointstable[],2,FALSE)</f>
        <v>0</v>
      </c>
      <c r="W111" s="5">
        <f>IFERROR(VLOOKUP(U14Mruns[[#This Row],[Card]],results0123[],5,FALSE),999)</f>
        <v>78</v>
      </c>
      <c r="X111" s="5">
        <f>VLOOKUP(U14Mruns[[#This Row],[pos2.0123]],pointstable[],2,FALSE)</f>
        <v>0</v>
      </c>
      <c r="Y111" s="5">
        <f>IFERROR(VLOOKUP(U14Mruns[[#This Row],[Card]],results0120[],4,FALSE),999)</f>
        <v>70</v>
      </c>
      <c r="Z111" s="5">
        <f>VLOOKUP(U14Mruns[[#This Row],[pos1.0120]],pointstable[],2,FALSE)</f>
        <v>0</v>
      </c>
      <c r="AA111" s="5">
        <f>IFERROR(VLOOKUP(U14Mruns[[#This Row],[Card]],results0120[],5,FALSE),999)</f>
        <v>54</v>
      </c>
      <c r="AB111" s="5">
        <f>VLOOKUP(U14Mruns[[#This Row],[pos2.0120]],pointstable[],2,FALSE)</f>
        <v>6</v>
      </c>
    </row>
    <row r="112" spans="1:28" x14ac:dyDescent="0.25">
      <c r="A112">
        <v>78783</v>
      </c>
      <c r="B112" t="s">
        <v>198</v>
      </c>
      <c r="C112" t="s">
        <v>47</v>
      </c>
      <c r="D112">
        <v>5</v>
      </c>
      <c r="E112" s="5">
        <f>MAX(U14Mruns[[#This Row],[pts1.0119]],U14Mruns[[#This Row],[pts2.0119]],U14Mruns[[#This Row],[pts1.0118]],U14Mruns[[#This Row],[pts2.0118]],U14Mruns[[#This Row],[pts1.0120]],U14Mruns[[#This Row],[pts2.0120]])</f>
        <v>0</v>
      </c>
      <c r="F112" s="5">
        <f>MAX(U14Mruns[[#This Row],[pts1.0117]],U14Mruns[[#This Row],[pts2.0117]],U14Mruns[[#This Row],[pts0121]],U14Mruns[[#This Row],[pts1.0123]],U14Mruns[[#This Row],[pts2.0123]])</f>
        <v>0</v>
      </c>
      <c r="G112" s="5">
        <f>IFERROR(VLOOKUP(U14Mruns[[#This Row],[Card]],results0117[],4,FALSE),999)</f>
        <v>69</v>
      </c>
      <c r="H112" s="5">
        <f>VLOOKUP(U14Mruns[[#This Row],[pos1.0117]],pointstable[],2,FALSE)</f>
        <v>0</v>
      </c>
      <c r="I112" s="5">
        <f>IFERROR(VLOOKUP(U14Mruns[[#This Row],[Card]],results0117[],5,FALSE),999)</f>
        <v>74</v>
      </c>
      <c r="J112" s="5">
        <f>VLOOKUP(U14Mruns[[#This Row],[pos2.0117]],pointstable[],2,FALSE)</f>
        <v>0</v>
      </c>
      <c r="K112" s="5">
        <f>IFERROR(VLOOKUP(U14Mruns[[#This Row],[Card]],results0119[],4,FALSE),999)</f>
        <v>999</v>
      </c>
      <c r="L112" s="5">
        <f>VLOOKUP(U14Mruns[[#This Row],[pos1.0119]],pointstable[],2,FALSE)</f>
        <v>0</v>
      </c>
      <c r="M112" s="5">
        <f>IFERROR(VLOOKUP(U14Mruns[[#This Row],[Card]],results0119[],5,FALSE),999)</f>
        <v>85</v>
      </c>
      <c r="N112" s="5">
        <f>VLOOKUP(U14Mruns[[#This Row],[pos2.0119]],pointstable[],2,FALSE)</f>
        <v>0</v>
      </c>
      <c r="O112" s="5">
        <f>IFERROR(VLOOKUP(U14Mruns[[#This Row],[Card]],results0121[],3,FALSE),999)</f>
        <v>999</v>
      </c>
      <c r="P112" s="5">
        <f>VLOOKUP(U14Mruns[[#This Row],[pos0121]],pointstable[],2,FALSE)</f>
        <v>0</v>
      </c>
      <c r="Q112" s="5">
        <f>IFERROR(VLOOKUP(U14Mruns[[#This Row],[Card]],results0118[],4,FALSE),999)</f>
        <v>82</v>
      </c>
      <c r="R112" s="5">
        <f>VLOOKUP(U14Mruns[[#This Row],[pos1.0118]],pointstable[],2,FALSE)</f>
        <v>0</v>
      </c>
      <c r="S112" s="5">
        <f>IFERROR(VLOOKUP(U14Mruns[[#This Row],[Card]],results0118[],5,FALSE),999)</f>
        <v>80</v>
      </c>
      <c r="T112" s="5">
        <f>VLOOKUP(U14Mruns[[#This Row],[pos2.0118]],pointstable[],2,FALSE)</f>
        <v>0</v>
      </c>
      <c r="U112" s="5">
        <f>IFERROR(VLOOKUP(U14Mruns[[#This Row],[Card]],results0123[],4,FALSE),999)</f>
        <v>85</v>
      </c>
      <c r="V112" s="5">
        <f>VLOOKUP(U14Mruns[[#This Row],[pos1.0123]],pointstable[],2,FALSE)</f>
        <v>0</v>
      </c>
      <c r="W112" s="5">
        <f>IFERROR(VLOOKUP(U14Mruns[[#This Row],[Card]],results0123[],5,FALSE),999)</f>
        <v>999</v>
      </c>
      <c r="X112" s="5">
        <f>VLOOKUP(U14Mruns[[#This Row],[pos2.0123]],pointstable[],2,FALSE)</f>
        <v>0</v>
      </c>
      <c r="Y112" s="5">
        <f>IFERROR(VLOOKUP(U14Mruns[[#This Row],[Card]],results0120[],4,FALSE),999)</f>
        <v>64</v>
      </c>
      <c r="Z112" s="5">
        <f>VLOOKUP(U14Mruns[[#This Row],[pos1.0120]],pointstable[],2,FALSE)</f>
        <v>0</v>
      </c>
      <c r="AA112" s="5">
        <f>IFERROR(VLOOKUP(U14Mruns[[#This Row],[Card]],results0120[],5,FALSE),999)</f>
        <v>66</v>
      </c>
      <c r="AB112" s="5">
        <f>VLOOKUP(U14Mruns[[#This Row],[pos2.0120]],pointstable[],2,FALSE)</f>
        <v>0</v>
      </c>
    </row>
    <row r="113" spans="1:28" x14ac:dyDescent="0.25">
      <c r="A113">
        <v>81781</v>
      </c>
      <c r="B113" t="s">
        <v>200</v>
      </c>
      <c r="C113" t="s">
        <v>38</v>
      </c>
      <c r="D113">
        <v>5</v>
      </c>
      <c r="E113" s="5">
        <f>MAX(U14Mruns[[#This Row],[pts1.0119]],U14Mruns[[#This Row],[pts2.0119]],U14Mruns[[#This Row],[pts1.0118]],U14Mruns[[#This Row],[pts2.0118]],U14Mruns[[#This Row],[pts1.0120]],U14Mruns[[#This Row],[pts2.0120]])</f>
        <v>0</v>
      </c>
      <c r="F113" s="5">
        <f>MAX(U14Mruns[[#This Row],[pts1.0117]],U14Mruns[[#This Row],[pts2.0117]],U14Mruns[[#This Row],[pts0121]],U14Mruns[[#This Row],[pts1.0123]],U14Mruns[[#This Row],[pts2.0123]])</f>
        <v>0</v>
      </c>
      <c r="G113" s="5">
        <f>IFERROR(VLOOKUP(U14Mruns[[#This Row],[Card]],results0117[],4,FALSE),999)</f>
        <v>999</v>
      </c>
      <c r="H113" s="5">
        <f>VLOOKUP(U14Mruns[[#This Row],[pos1.0117]],pointstable[],2,FALSE)</f>
        <v>0</v>
      </c>
      <c r="I113" s="5">
        <f>IFERROR(VLOOKUP(U14Mruns[[#This Row],[Card]],results0117[],5,FALSE),999)</f>
        <v>999</v>
      </c>
      <c r="J113" s="5">
        <f>VLOOKUP(U14Mruns[[#This Row],[pos2.0117]],pointstable[],2,FALSE)</f>
        <v>0</v>
      </c>
      <c r="K113" s="5">
        <f>IFERROR(VLOOKUP(U14Mruns[[#This Row],[Card]],results0119[],4,FALSE),999)</f>
        <v>69</v>
      </c>
      <c r="L113" s="5">
        <f>VLOOKUP(U14Mruns[[#This Row],[pos1.0119]],pointstable[],2,FALSE)</f>
        <v>0</v>
      </c>
      <c r="M113" s="5">
        <f>IFERROR(VLOOKUP(U14Mruns[[#This Row],[Card]],results0119[],5,FALSE),999)</f>
        <v>89</v>
      </c>
      <c r="N113" s="5">
        <f>VLOOKUP(U14Mruns[[#This Row],[pos2.0119]],pointstable[],2,FALSE)</f>
        <v>0</v>
      </c>
      <c r="O113" s="5">
        <f>IFERROR(VLOOKUP(U14Mruns[[#This Row],[Card]],results0121[],3,FALSE),999)</f>
        <v>999</v>
      </c>
      <c r="P113" s="5">
        <f>VLOOKUP(U14Mruns[[#This Row],[pos0121]],pointstable[],2,FALSE)</f>
        <v>0</v>
      </c>
      <c r="Q113" s="5">
        <f>IFERROR(VLOOKUP(U14Mruns[[#This Row],[Card]],results0118[],4,FALSE),999)</f>
        <v>89</v>
      </c>
      <c r="R113" s="5">
        <f>VLOOKUP(U14Mruns[[#This Row],[pos1.0118]],pointstable[],2,FALSE)</f>
        <v>0</v>
      </c>
      <c r="S113" s="5">
        <f>IFERROR(VLOOKUP(U14Mruns[[#This Row],[Card]],results0118[],5,FALSE),999)</f>
        <v>78</v>
      </c>
      <c r="T113" s="5">
        <f>VLOOKUP(U14Mruns[[#This Row],[pos2.0118]],pointstable[],2,FALSE)</f>
        <v>0</v>
      </c>
      <c r="U113" s="5">
        <f>IFERROR(VLOOKUP(U14Mruns[[#This Row],[Card]],results0123[],4,FALSE),999)</f>
        <v>999</v>
      </c>
      <c r="V113" s="5">
        <f>VLOOKUP(U14Mruns[[#This Row],[pos1.0123]],pointstable[],2,FALSE)</f>
        <v>0</v>
      </c>
      <c r="W113" s="5">
        <f>IFERROR(VLOOKUP(U14Mruns[[#This Row],[Card]],results0123[],5,FALSE),999)</f>
        <v>80</v>
      </c>
      <c r="X113" s="5">
        <f>VLOOKUP(U14Mruns[[#This Row],[pos2.0123]],pointstable[],2,FALSE)</f>
        <v>0</v>
      </c>
      <c r="Y113" s="5">
        <f>IFERROR(VLOOKUP(U14Mruns[[#This Row],[Card]],results0120[],4,FALSE),999)</f>
        <v>999</v>
      </c>
      <c r="Z113" s="5">
        <f>VLOOKUP(U14Mruns[[#This Row],[pos1.0120]],pointstable[],2,FALSE)</f>
        <v>0</v>
      </c>
      <c r="AA113" s="5">
        <f>IFERROR(VLOOKUP(U14Mruns[[#This Row],[Card]],results0120[],5,FALSE),999)</f>
        <v>72</v>
      </c>
      <c r="AB113" s="5">
        <f>VLOOKUP(U14Mruns[[#This Row],[pos2.0120]],pointstable[],2,FALSE)</f>
        <v>0</v>
      </c>
    </row>
    <row r="114" spans="1:28" x14ac:dyDescent="0.25">
      <c r="A114">
        <v>78414</v>
      </c>
      <c r="B114" t="s">
        <v>202</v>
      </c>
      <c r="C114" t="s">
        <v>155</v>
      </c>
      <c r="D114">
        <v>4</v>
      </c>
      <c r="E114" s="5">
        <f>MAX(U14Mruns[[#This Row],[pts1.0119]],U14Mruns[[#This Row],[pts2.0119]],U14Mruns[[#This Row],[pts1.0118]],U14Mruns[[#This Row],[pts2.0118]],U14Mruns[[#This Row],[pts1.0120]],U14Mruns[[#This Row],[pts2.0120]])</f>
        <v>3</v>
      </c>
      <c r="F114" s="5">
        <f>MAX(U14Mruns[[#This Row],[pts1.0117]],U14Mruns[[#This Row],[pts2.0117]],U14Mruns[[#This Row],[pts0121]],U14Mruns[[#This Row],[pts1.0123]],U14Mruns[[#This Row],[pts2.0123]])</f>
        <v>0</v>
      </c>
      <c r="G114" s="5">
        <f>IFERROR(VLOOKUP(U14Mruns[[#This Row],[Card]],results0117[],4,FALSE),999)</f>
        <v>94</v>
      </c>
      <c r="H114" s="5">
        <f>VLOOKUP(U14Mruns[[#This Row],[pos1.0117]],pointstable[],2,FALSE)</f>
        <v>0</v>
      </c>
      <c r="I114" s="5">
        <f>IFERROR(VLOOKUP(U14Mruns[[#This Row],[Card]],results0117[],5,FALSE),999)</f>
        <v>93</v>
      </c>
      <c r="J114" s="5">
        <f>VLOOKUP(U14Mruns[[#This Row],[pos2.0117]],pointstable[],2,FALSE)</f>
        <v>0</v>
      </c>
      <c r="K114" s="5">
        <f>IFERROR(VLOOKUP(U14Mruns[[#This Row],[Card]],results0119[],4,FALSE),999)</f>
        <v>999</v>
      </c>
      <c r="L114" s="5">
        <f>VLOOKUP(U14Mruns[[#This Row],[pos1.0119]],pointstable[],2,FALSE)</f>
        <v>0</v>
      </c>
      <c r="M114" s="5">
        <f>IFERROR(VLOOKUP(U14Mruns[[#This Row],[Card]],results0119[],5,FALSE),999)</f>
        <v>999</v>
      </c>
      <c r="N114" s="5">
        <f>VLOOKUP(U14Mruns[[#This Row],[pos2.0119]],pointstable[],2,FALSE)</f>
        <v>0</v>
      </c>
      <c r="O114" s="5">
        <f>IFERROR(VLOOKUP(U14Mruns[[#This Row],[Card]],results0121[],3,FALSE),999)</f>
        <v>73</v>
      </c>
      <c r="P114" s="5">
        <f>VLOOKUP(U14Mruns[[#This Row],[pos0121]],pointstable[],2,FALSE)</f>
        <v>0</v>
      </c>
      <c r="Q114" s="5">
        <f>IFERROR(VLOOKUP(U14Mruns[[#This Row],[Card]],results0118[],4,FALSE),999)</f>
        <v>96</v>
      </c>
      <c r="R114" s="5">
        <f>VLOOKUP(U14Mruns[[#This Row],[pos1.0118]],pointstable[],2,FALSE)</f>
        <v>0</v>
      </c>
      <c r="S114" s="5">
        <f>IFERROR(VLOOKUP(U14Mruns[[#This Row],[Card]],results0118[],5,FALSE),999)</f>
        <v>88</v>
      </c>
      <c r="T114" s="5">
        <f>VLOOKUP(U14Mruns[[#This Row],[pos2.0118]],pointstable[],2,FALSE)</f>
        <v>0</v>
      </c>
      <c r="U114" s="5">
        <f>IFERROR(VLOOKUP(U14Mruns[[#This Row],[Card]],results0123[],4,FALSE),999)</f>
        <v>93</v>
      </c>
      <c r="V114" s="5">
        <f>VLOOKUP(U14Mruns[[#This Row],[pos1.0123]],pointstable[],2,FALSE)</f>
        <v>0</v>
      </c>
      <c r="W114" s="5">
        <f>IFERROR(VLOOKUP(U14Mruns[[#This Row],[Card]],results0123[],5,FALSE),999)</f>
        <v>999</v>
      </c>
      <c r="X114" s="5">
        <f>VLOOKUP(U14Mruns[[#This Row],[pos2.0123]],pointstable[],2,FALSE)</f>
        <v>0</v>
      </c>
      <c r="Y114" s="5">
        <f>IFERROR(VLOOKUP(U14Mruns[[#This Row],[Card]],results0120[],4,FALSE),999)</f>
        <v>57</v>
      </c>
      <c r="Z114" s="5">
        <f>VLOOKUP(U14Mruns[[#This Row],[pos1.0120]],pointstable[],2,FALSE)</f>
        <v>3</v>
      </c>
      <c r="AA114" s="5">
        <f>IFERROR(VLOOKUP(U14Mruns[[#This Row],[Card]],results0120[],5,FALSE),999)</f>
        <v>77</v>
      </c>
      <c r="AB114" s="5">
        <f>VLOOKUP(U14Mruns[[#This Row],[pos2.0120]],pointstable[],2,FALSE)</f>
        <v>0</v>
      </c>
    </row>
    <row r="115" spans="1:28" x14ac:dyDescent="0.25">
      <c r="A115">
        <v>85950</v>
      </c>
      <c r="B115" t="s">
        <v>206</v>
      </c>
      <c r="C115" t="s">
        <v>31</v>
      </c>
      <c r="D115">
        <v>4</v>
      </c>
      <c r="E115" s="5">
        <f>MAX(U14Mruns[[#This Row],[pts1.0119]],U14Mruns[[#This Row],[pts2.0119]],U14Mruns[[#This Row],[pts1.0118]],U14Mruns[[#This Row],[pts2.0118]],U14Mruns[[#This Row],[pts1.0120]],U14Mruns[[#This Row],[pts2.0120]])</f>
        <v>0</v>
      </c>
      <c r="F115" s="5">
        <f>MAX(U14Mruns[[#This Row],[pts1.0117]],U14Mruns[[#This Row],[pts2.0117]],U14Mruns[[#This Row],[pts0121]],U14Mruns[[#This Row],[pts1.0123]],U14Mruns[[#This Row],[pts2.0123]])</f>
        <v>0</v>
      </c>
      <c r="G115" s="5">
        <f>IFERROR(VLOOKUP(U14Mruns[[#This Row],[Card]],results0117[],4,FALSE),999)</f>
        <v>76</v>
      </c>
      <c r="H115" s="5">
        <f>VLOOKUP(U14Mruns[[#This Row],[pos1.0117]],pointstable[],2,FALSE)</f>
        <v>0</v>
      </c>
      <c r="I115" s="5">
        <f>IFERROR(VLOOKUP(U14Mruns[[#This Row],[Card]],results0117[],5,FALSE),999)</f>
        <v>75</v>
      </c>
      <c r="J115" s="5">
        <f>VLOOKUP(U14Mruns[[#This Row],[pos2.0117]],pointstable[],2,FALSE)</f>
        <v>0</v>
      </c>
      <c r="K115" s="5">
        <f>IFERROR(VLOOKUP(U14Mruns[[#This Row],[Card]],results0119[],4,FALSE),999)</f>
        <v>66</v>
      </c>
      <c r="L115" s="5">
        <f>VLOOKUP(U14Mruns[[#This Row],[pos1.0119]],pointstable[],2,FALSE)</f>
        <v>0</v>
      </c>
      <c r="M115" s="5">
        <f>IFERROR(VLOOKUP(U14Mruns[[#This Row],[Card]],results0119[],5,FALSE),999)</f>
        <v>93</v>
      </c>
      <c r="N115" s="5">
        <f>VLOOKUP(U14Mruns[[#This Row],[pos2.0119]],pointstable[],2,FALSE)</f>
        <v>0</v>
      </c>
      <c r="O115" s="5">
        <f>IFERROR(VLOOKUP(U14Mruns[[#This Row],[Card]],results0121[],3,FALSE),999)</f>
        <v>999</v>
      </c>
      <c r="P115" s="5">
        <f>VLOOKUP(U14Mruns[[#This Row],[pos0121]],pointstable[],2,FALSE)</f>
        <v>0</v>
      </c>
      <c r="Q115" s="5">
        <f>IFERROR(VLOOKUP(U14Mruns[[#This Row],[Card]],results0118[],4,FALSE),999)</f>
        <v>92</v>
      </c>
      <c r="R115" s="5">
        <f>VLOOKUP(U14Mruns[[#This Row],[pos1.0118]],pointstable[],2,FALSE)</f>
        <v>0</v>
      </c>
      <c r="S115" s="5">
        <f>IFERROR(VLOOKUP(U14Mruns[[#This Row],[Card]],results0118[],5,FALSE),999)</f>
        <v>999</v>
      </c>
      <c r="T115" s="5">
        <f>VLOOKUP(U14Mruns[[#This Row],[pos2.0118]],pointstable[],2,FALSE)</f>
        <v>0</v>
      </c>
      <c r="U115" s="5">
        <f>IFERROR(VLOOKUP(U14Mruns[[#This Row],[Card]],results0123[],4,FALSE),999)</f>
        <v>91</v>
      </c>
      <c r="V115" s="5">
        <f>VLOOKUP(U14Mruns[[#This Row],[pos1.0123]],pointstable[],2,FALSE)</f>
        <v>0</v>
      </c>
      <c r="W115" s="5">
        <f>IFERROR(VLOOKUP(U14Mruns[[#This Row],[Card]],results0123[],5,FALSE),999)</f>
        <v>88</v>
      </c>
      <c r="X115" s="5">
        <f>VLOOKUP(U14Mruns[[#This Row],[pos2.0123]],pointstable[],2,FALSE)</f>
        <v>0</v>
      </c>
      <c r="Y115" s="5">
        <f>IFERROR(VLOOKUP(U14Mruns[[#This Row],[Card]],results0120[],4,FALSE),999)</f>
        <v>999</v>
      </c>
      <c r="Z115" s="5">
        <f>VLOOKUP(U14Mruns[[#This Row],[pos1.0120]],pointstable[],2,FALSE)</f>
        <v>0</v>
      </c>
      <c r="AA115" s="5">
        <f>IFERROR(VLOOKUP(U14Mruns[[#This Row],[Card]],results0120[],5,FALSE),999)</f>
        <v>999</v>
      </c>
      <c r="AB115" s="5">
        <f>VLOOKUP(U14Mruns[[#This Row],[pos2.0120]],pointstable[],2,FALSE)</f>
        <v>0</v>
      </c>
    </row>
    <row r="116" spans="1:28" x14ac:dyDescent="0.25">
      <c r="A116">
        <v>80701</v>
      </c>
      <c r="B116" t="s">
        <v>216</v>
      </c>
      <c r="C116" t="s">
        <v>31</v>
      </c>
      <c r="D116">
        <v>5</v>
      </c>
      <c r="E116" s="5">
        <f>MAX(U14Mruns[[#This Row],[pts1.0119]],U14Mruns[[#This Row],[pts2.0119]],U14Mruns[[#This Row],[pts1.0118]],U14Mruns[[#This Row],[pts2.0118]],U14Mruns[[#This Row],[pts1.0120]],U14Mruns[[#This Row],[pts2.0120]])</f>
        <v>0</v>
      </c>
      <c r="F116" s="5">
        <f>MAX(U14Mruns[[#This Row],[pts1.0117]],U14Mruns[[#This Row],[pts2.0117]],U14Mruns[[#This Row],[pts0121]],U14Mruns[[#This Row],[pts1.0123]],U14Mruns[[#This Row],[pts2.0123]])</f>
        <v>0</v>
      </c>
      <c r="G116" s="5">
        <f>IFERROR(VLOOKUP(U14Mruns[[#This Row],[Card]],results0117[],4,FALSE),999)</f>
        <v>82</v>
      </c>
      <c r="H116" s="5">
        <f>VLOOKUP(U14Mruns[[#This Row],[pos1.0117]],pointstable[],2,FALSE)</f>
        <v>0</v>
      </c>
      <c r="I116" s="5">
        <f>IFERROR(VLOOKUP(U14Mruns[[#This Row],[Card]],results0117[],5,FALSE),999)</f>
        <v>88</v>
      </c>
      <c r="J116" s="5">
        <f>VLOOKUP(U14Mruns[[#This Row],[pos2.0117]],pointstable[],2,FALSE)</f>
        <v>0</v>
      </c>
      <c r="K116" s="5">
        <f>IFERROR(VLOOKUP(U14Mruns[[#This Row],[Card]],results0119[],4,FALSE),999)</f>
        <v>999</v>
      </c>
      <c r="L116" s="5">
        <f>VLOOKUP(U14Mruns[[#This Row],[pos1.0119]],pointstable[],2,FALSE)</f>
        <v>0</v>
      </c>
      <c r="M116" s="5">
        <f>IFERROR(VLOOKUP(U14Mruns[[#This Row],[Card]],results0119[],5,FALSE),999)</f>
        <v>90</v>
      </c>
      <c r="N116" s="5">
        <f>VLOOKUP(U14Mruns[[#This Row],[pos2.0119]],pointstable[],2,FALSE)</f>
        <v>0</v>
      </c>
      <c r="O116" s="5">
        <f>IFERROR(VLOOKUP(U14Mruns[[#This Row],[Card]],results0121[],3,FALSE),999)</f>
        <v>999</v>
      </c>
      <c r="P116" s="5">
        <f>VLOOKUP(U14Mruns[[#This Row],[pos0121]],pointstable[],2,FALSE)</f>
        <v>0</v>
      </c>
      <c r="Q116" s="5">
        <f>IFERROR(VLOOKUP(U14Mruns[[#This Row],[Card]],results0118[],4,FALSE),999)</f>
        <v>69</v>
      </c>
      <c r="R116" s="5">
        <f>VLOOKUP(U14Mruns[[#This Row],[pos1.0118]],pointstable[],2,FALSE)</f>
        <v>0</v>
      </c>
      <c r="S116" s="5">
        <f>IFERROR(VLOOKUP(U14Mruns[[#This Row],[Card]],results0118[],5,FALSE),999)</f>
        <v>999</v>
      </c>
      <c r="T116" s="5">
        <f>VLOOKUP(U14Mruns[[#This Row],[pos2.0118]],pointstable[],2,FALSE)</f>
        <v>0</v>
      </c>
      <c r="U116" s="5">
        <f>IFERROR(VLOOKUP(U14Mruns[[#This Row],[Card]],results0123[],4,FALSE),999)</f>
        <v>83</v>
      </c>
      <c r="V116" s="5">
        <f>VLOOKUP(U14Mruns[[#This Row],[pos1.0123]],pointstable[],2,FALSE)</f>
        <v>0</v>
      </c>
      <c r="W116" s="5">
        <f>IFERROR(VLOOKUP(U14Mruns[[#This Row],[Card]],results0123[],5,FALSE),999)</f>
        <v>68</v>
      </c>
      <c r="X116" s="5">
        <f>VLOOKUP(U14Mruns[[#This Row],[pos2.0123]],pointstable[],2,FALSE)</f>
        <v>0</v>
      </c>
      <c r="Y116" s="5">
        <f>IFERROR(VLOOKUP(U14Mruns[[#This Row],[Card]],results0120[],4,FALSE),999)</f>
        <v>999</v>
      </c>
      <c r="Z116" s="5">
        <f>VLOOKUP(U14Mruns[[#This Row],[pos1.0120]],pointstable[],2,FALSE)</f>
        <v>0</v>
      </c>
      <c r="AA116" s="5">
        <f>IFERROR(VLOOKUP(U14Mruns[[#This Row],[Card]],results0120[],5,FALSE),999)</f>
        <v>999</v>
      </c>
      <c r="AB116" s="5">
        <f>VLOOKUP(U14Mruns[[#This Row],[pos2.0120]],pointstable[],2,FALSE)</f>
        <v>0</v>
      </c>
    </row>
    <row r="117" spans="1:28" x14ac:dyDescent="0.25">
      <c r="A117">
        <v>80830</v>
      </c>
      <c r="B117" t="s">
        <v>217</v>
      </c>
      <c r="C117" t="s">
        <v>54</v>
      </c>
      <c r="D117">
        <v>5</v>
      </c>
      <c r="E117" s="5">
        <f>MAX(U14Mruns[[#This Row],[pts1.0119]],U14Mruns[[#This Row],[pts2.0119]],U14Mruns[[#This Row],[pts1.0118]],U14Mruns[[#This Row],[pts2.0118]],U14Mruns[[#This Row],[pts1.0120]],U14Mruns[[#This Row],[pts2.0120]])</f>
        <v>0</v>
      </c>
      <c r="F117" s="5">
        <f>MAX(U14Mruns[[#This Row],[pts1.0117]],U14Mruns[[#This Row],[pts2.0117]],U14Mruns[[#This Row],[pts0121]],U14Mruns[[#This Row],[pts1.0123]],U14Mruns[[#This Row],[pts2.0123]])</f>
        <v>0</v>
      </c>
      <c r="G117" s="5">
        <f>IFERROR(VLOOKUP(U14Mruns[[#This Row],[Card]],results0117[],4,FALSE),999)</f>
        <v>78</v>
      </c>
      <c r="H117" s="5">
        <f>VLOOKUP(U14Mruns[[#This Row],[pos1.0117]],pointstable[],2,FALSE)</f>
        <v>0</v>
      </c>
      <c r="I117" s="5">
        <f>IFERROR(VLOOKUP(U14Mruns[[#This Row],[Card]],results0117[],5,FALSE),999)</f>
        <v>73</v>
      </c>
      <c r="J117" s="5">
        <f>VLOOKUP(U14Mruns[[#This Row],[pos2.0117]],pointstable[],2,FALSE)</f>
        <v>0</v>
      </c>
      <c r="K117" s="5">
        <f>IFERROR(VLOOKUP(U14Mruns[[#This Row],[Card]],results0119[],4,FALSE),999)</f>
        <v>62</v>
      </c>
      <c r="L117" s="5">
        <f>VLOOKUP(U14Mruns[[#This Row],[pos1.0119]],pointstable[],2,FALSE)</f>
        <v>0</v>
      </c>
      <c r="M117" s="5">
        <f>IFERROR(VLOOKUP(U14Mruns[[#This Row],[Card]],results0119[],5,FALSE),999)</f>
        <v>78</v>
      </c>
      <c r="N117" s="5">
        <f>VLOOKUP(U14Mruns[[#This Row],[pos2.0119]],pointstable[],2,FALSE)</f>
        <v>0</v>
      </c>
      <c r="O117" s="5">
        <f>IFERROR(VLOOKUP(U14Mruns[[#This Row],[Card]],results0121[],3,FALSE),999)</f>
        <v>999</v>
      </c>
      <c r="P117" s="5">
        <f>VLOOKUP(U14Mruns[[#This Row],[pos0121]],pointstable[],2,FALSE)</f>
        <v>0</v>
      </c>
      <c r="Q117" s="5">
        <f>IFERROR(VLOOKUP(U14Mruns[[#This Row],[Card]],results0118[],4,FALSE),999)</f>
        <v>63</v>
      </c>
      <c r="R117" s="5">
        <f>VLOOKUP(U14Mruns[[#This Row],[pos1.0118]],pointstable[],2,FALSE)</f>
        <v>0</v>
      </c>
      <c r="S117" s="5">
        <f>IFERROR(VLOOKUP(U14Mruns[[#This Row],[Card]],results0118[],5,FALSE),999)</f>
        <v>79</v>
      </c>
      <c r="T117" s="5">
        <f>VLOOKUP(U14Mruns[[#This Row],[pos2.0118]],pointstable[],2,FALSE)</f>
        <v>0</v>
      </c>
      <c r="U117" s="5">
        <f>IFERROR(VLOOKUP(U14Mruns[[#This Row],[Card]],results0123[],4,FALSE),999)</f>
        <v>89</v>
      </c>
      <c r="V117" s="5">
        <f>VLOOKUP(U14Mruns[[#This Row],[pos1.0123]],pointstable[],2,FALSE)</f>
        <v>0</v>
      </c>
      <c r="W117" s="5">
        <f>IFERROR(VLOOKUP(U14Mruns[[#This Row],[Card]],results0123[],5,FALSE),999)</f>
        <v>72</v>
      </c>
      <c r="X117" s="5">
        <f>VLOOKUP(U14Mruns[[#This Row],[pos2.0123]],pointstable[],2,FALSE)</f>
        <v>0</v>
      </c>
      <c r="Y117" s="5">
        <f>IFERROR(VLOOKUP(U14Mruns[[#This Row],[Card]],results0120[],4,FALSE),999)</f>
        <v>999</v>
      </c>
      <c r="Z117" s="5">
        <f>VLOOKUP(U14Mruns[[#This Row],[pos1.0120]],pointstable[],2,FALSE)</f>
        <v>0</v>
      </c>
      <c r="AA117" s="5">
        <f>IFERROR(VLOOKUP(U14Mruns[[#This Row],[Card]],results0120[],5,FALSE),999)</f>
        <v>999</v>
      </c>
      <c r="AB117" s="5">
        <f>VLOOKUP(U14Mruns[[#This Row],[pos2.0120]],pointstable[],2,FALSE)</f>
        <v>0</v>
      </c>
    </row>
    <row r="118" spans="1:28" x14ac:dyDescent="0.25">
      <c r="A118">
        <v>82405</v>
      </c>
      <c r="B118" t="s">
        <v>223</v>
      </c>
      <c r="C118" t="s">
        <v>101</v>
      </c>
      <c r="D118">
        <v>4</v>
      </c>
      <c r="E118" s="5">
        <f>MAX(U14Mruns[[#This Row],[pts1.0119]],U14Mruns[[#This Row],[pts2.0119]],U14Mruns[[#This Row],[pts1.0118]],U14Mruns[[#This Row],[pts2.0118]],U14Mruns[[#This Row],[pts1.0120]],U14Mruns[[#This Row],[pts2.0120]])</f>
        <v>0</v>
      </c>
      <c r="F118" s="5">
        <f>MAX(U14Mruns[[#This Row],[pts1.0117]],U14Mruns[[#This Row],[pts2.0117]],U14Mruns[[#This Row],[pts0121]],U14Mruns[[#This Row],[pts1.0123]],U14Mruns[[#This Row],[pts2.0123]])</f>
        <v>0</v>
      </c>
      <c r="G118" s="5">
        <f>IFERROR(VLOOKUP(U14Mruns[[#This Row],[Card]],results0117[],4,FALSE),999)</f>
        <v>999</v>
      </c>
      <c r="H118" s="5">
        <f>VLOOKUP(U14Mruns[[#This Row],[pos1.0117]],pointstable[],2,FALSE)</f>
        <v>0</v>
      </c>
      <c r="I118" s="5">
        <f>IFERROR(VLOOKUP(U14Mruns[[#This Row],[Card]],results0117[],5,FALSE),999)</f>
        <v>999</v>
      </c>
      <c r="J118" s="5">
        <f>VLOOKUP(U14Mruns[[#This Row],[pos2.0117]],pointstable[],2,FALSE)</f>
        <v>0</v>
      </c>
      <c r="K118" s="5">
        <f>IFERROR(VLOOKUP(U14Mruns[[#This Row],[Card]],results0119[],4,FALSE),999)</f>
        <v>999</v>
      </c>
      <c r="L118" s="5">
        <f>VLOOKUP(U14Mruns[[#This Row],[pos1.0119]],pointstable[],2,FALSE)</f>
        <v>0</v>
      </c>
      <c r="M118" s="5">
        <f>IFERROR(VLOOKUP(U14Mruns[[#This Row],[Card]],results0119[],5,FALSE),999)</f>
        <v>999</v>
      </c>
      <c r="N118" s="5">
        <f>VLOOKUP(U14Mruns[[#This Row],[pos2.0119]],pointstable[],2,FALSE)</f>
        <v>0</v>
      </c>
      <c r="O118" s="5">
        <f>IFERROR(VLOOKUP(U14Mruns[[#This Row],[Card]],results0121[],3,FALSE),999)</f>
        <v>999</v>
      </c>
      <c r="P118" s="5">
        <f>VLOOKUP(U14Mruns[[#This Row],[pos0121]],pointstable[],2,FALSE)</f>
        <v>0</v>
      </c>
      <c r="Q118" s="5">
        <f>IFERROR(VLOOKUP(U14Mruns[[#This Row],[Card]],results0118[],4,FALSE),999)</f>
        <v>999</v>
      </c>
      <c r="R118" s="5">
        <f>VLOOKUP(U14Mruns[[#This Row],[pos1.0118]],pointstable[],2,FALSE)</f>
        <v>0</v>
      </c>
      <c r="S118" s="5">
        <f>IFERROR(VLOOKUP(U14Mruns[[#This Row],[Card]],results0118[],5,FALSE),999)</f>
        <v>999</v>
      </c>
      <c r="T118" s="5">
        <f>VLOOKUP(U14Mruns[[#This Row],[pos2.0118]],pointstable[],2,FALSE)</f>
        <v>0</v>
      </c>
      <c r="U118" s="5">
        <f>IFERROR(VLOOKUP(U14Mruns[[#This Row],[Card]],results0123[],4,FALSE),999)</f>
        <v>999</v>
      </c>
      <c r="V118" s="5">
        <f>VLOOKUP(U14Mruns[[#This Row],[pos1.0123]],pointstable[],2,FALSE)</f>
        <v>0</v>
      </c>
      <c r="W118" s="5">
        <f>IFERROR(VLOOKUP(U14Mruns[[#This Row],[Card]],results0123[],5,FALSE),999)</f>
        <v>999</v>
      </c>
      <c r="X118" s="5">
        <f>VLOOKUP(U14Mruns[[#This Row],[pos2.0123]],pointstable[],2,FALSE)</f>
        <v>0</v>
      </c>
      <c r="Y118" s="5">
        <f>IFERROR(VLOOKUP(U14Mruns[[#This Row],[Card]],results0120[],4,FALSE),999)</f>
        <v>999</v>
      </c>
      <c r="Z118" s="5">
        <f>VLOOKUP(U14Mruns[[#This Row],[pos1.0120]],pointstable[],2,FALSE)</f>
        <v>0</v>
      </c>
      <c r="AA118" s="5">
        <f>IFERROR(VLOOKUP(U14Mruns[[#This Row],[Card]],results0120[],5,FALSE),999)</f>
        <v>999</v>
      </c>
      <c r="AB118" s="5">
        <f>VLOOKUP(U14Mruns[[#This Row],[pos2.0120]],pointstable[],2,FALSE)</f>
        <v>0</v>
      </c>
    </row>
    <row r="119" spans="1:28" x14ac:dyDescent="0.25">
      <c r="A119">
        <v>86207</v>
      </c>
      <c r="B119" s="5" t="s">
        <v>294</v>
      </c>
      <c r="C119" s="5" t="s">
        <v>54</v>
      </c>
      <c r="D119">
        <v>5</v>
      </c>
      <c r="E119" s="5">
        <f>MAX(U14Mruns[[#This Row],[pts1.0119]],U14Mruns[[#This Row],[pts2.0119]],U14Mruns[[#This Row],[pts1.0118]],U14Mruns[[#This Row],[pts2.0118]],U14Mruns[[#This Row],[pts1.0120]],U14Mruns[[#This Row],[pts2.0120]])</f>
        <v>0</v>
      </c>
      <c r="F119" s="5">
        <f>MAX(U14Mruns[[#This Row],[pts1.0117]],U14Mruns[[#This Row],[pts2.0117]],U14Mruns[[#This Row],[pts0121]],U14Mruns[[#This Row],[pts1.0123]],U14Mruns[[#This Row],[pts2.0123]])</f>
        <v>0</v>
      </c>
      <c r="G119" s="5">
        <f>IFERROR(VLOOKUP(U14Mruns[[#This Row],[Card]],results0117[],4,FALSE),999)</f>
        <v>85</v>
      </c>
      <c r="H119" s="5">
        <f>VLOOKUP(U14Mruns[[#This Row],[pos1.0117]],pointstable[],2,FALSE)</f>
        <v>0</v>
      </c>
      <c r="I119" s="5">
        <f>IFERROR(VLOOKUP(U14Mruns[[#This Row],[Card]],results0117[],5,FALSE),999)</f>
        <v>89</v>
      </c>
      <c r="J119" s="5">
        <f>VLOOKUP(U14Mruns[[#This Row],[pos2.0117]],pointstable[],2,FALSE)</f>
        <v>0</v>
      </c>
      <c r="K119" s="5">
        <f>IFERROR(VLOOKUP(U14Mruns[[#This Row],[Card]],results0119[],4,FALSE),999)</f>
        <v>61</v>
      </c>
      <c r="L119" s="5">
        <f>VLOOKUP(U14Mruns[[#This Row],[pos1.0119]],pointstable[],2,FALSE)</f>
        <v>0</v>
      </c>
      <c r="M119" s="5">
        <f>IFERROR(VLOOKUP(U14Mruns[[#This Row],[Card]],results0119[],5,FALSE),999)</f>
        <v>80</v>
      </c>
      <c r="N119" s="5">
        <f>VLOOKUP(U14Mruns[[#This Row],[pos2.0119]],pointstable[],2,FALSE)</f>
        <v>0</v>
      </c>
      <c r="O119" s="5">
        <f>IFERROR(VLOOKUP(U14Mruns[[#This Row],[Card]],results0121[],3,FALSE),999)</f>
        <v>64</v>
      </c>
      <c r="P119" s="5">
        <f>VLOOKUP(U14Mruns[[#This Row],[pos0121]],pointstable[],2,FALSE)</f>
        <v>0</v>
      </c>
      <c r="Q119" s="5">
        <f>IFERROR(VLOOKUP(U14Mruns[[#This Row],[Card]],results0118[],4,FALSE),999)</f>
        <v>74</v>
      </c>
      <c r="R119" s="5">
        <f>VLOOKUP(U14Mruns[[#This Row],[pos1.0118]],pointstable[],2,FALSE)</f>
        <v>0</v>
      </c>
      <c r="S119" s="5">
        <f>IFERROR(VLOOKUP(U14Mruns[[#This Row],[Card]],results0118[],5,FALSE),999)</f>
        <v>91</v>
      </c>
      <c r="T119" s="5">
        <f>VLOOKUP(U14Mruns[[#This Row],[pos2.0118]],pointstable[],2,FALSE)</f>
        <v>0</v>
      </c>
      <c r="U119" s="5">
        <f>IFERROR(VLOOKUP(U14Mruns[[#This Row],[Card]],results0123[],4,FALSE),999)</f>
        <v>90</v>
      </c>
      <c r="V119" s="5">
        <f>VLOOKUP(U14Mruns[[#This Row],[pos1.0123]],pointstable[],2,FALSE)</f>
        <v>0</v>
      </c>
      <c r="W119" s="5">
        <f>IFERROR(VLOOKUP(U14Mruns[[#This Row],[Card]],results0123[],5,FALSE),999)</f>
        <v>82</v>
      </c>
      <c r="X119" s="5">
        <f>VLOOKUP(U14Mruns[[#This Row],[pos2.0123]],pointstable[],2,FALSE)</f>
        <v>0</v>
      </c>
      <c r="Y119" s="5">
        <f>IFERROR(VLOOKUP(U14Mruns[[#This Row],[Card]],results0120[],4,FALSE),999)</f>
        <v>999</v>
      </c>
      <c r="Z119" s="5">
        <f>VLOOKUP(U14Mruns[[#This Row],[pos1.0120]],pointstable[],2,FALSE)</f>
        <v>0</v>
      </c>
      <c r="AA119" s="5">
        <f>IFERROR(VLOOKUP(U14Mruns[[#This Row],[Card]],results0120[],5,FALSE),999)</f>
        <v>999</v>
      </c>
      <c r="AB119" s="5">
        <f>VLOOKUP(U14Mruns[[#This Row],[pos2.0120]],pointstable[],2,FALSE)</f>
        <v>0</v>
      </c>
    </row>
    <row r="120" spans="1:28" x14ac:dyDescent="0.25">
      <c r="A120" s="23">
        <v>80807</v>
      </c>
      <c r="B120" s="25" t="s">
        <v>298</v>
      </c>
      <c r="C120" s="25" t="s">
        <v>54</v>
      </c>
      <c r="D120" s="25">
        <v>5</v>
      </c>
      <c r="E120" s="5">
        <f>MAX(U14Mruns[[#This Row],[pts1.0119]],U14Mruns[[#This Row],[pts2.0119]],U14Mruns[[#This Row],[pts1.0118]],U14Mruns[[#This Row],[pts2.0118]],U14Mruns[[#This Row],[pts1.0120]],U14Mruns[[#This Row],[pts2.0120]])</f>
        <v>0</v>
      </c>
      <c r="F120" s="5">
        <f>MAX(U14Mruns[[#This Row],[pts1.0117]],U14Mruns[[#This Row],[pts2.0117]],U14Mruns[[#This Row],[pts0121]],U14Mruns[[#This Row],[pts1.0123]],U14Mruns[[#This Row],[pts2.0123]])</f>
        <v>0</v>
      </c>
      <c r="G120" s="5">
        <f>IFERROR(VLOOKUP(U14Mruns[[#This Row],[Card]],results0117[],4,FALSE),999)</f>
        <v>91</v>
      </c>
      <c r="H120" s="5">
        <f>VLOOKUP(U14Mruns[[#This Row],[pos1.0117]],pointstable[],2,FALSE)</f>
        <v>0</v>
      </c>
      <c r="I120" s="5">
        <f>IFERROR(VLOOKUP(U14Mruns[[#This Row],[Card]],results0117[],5,FALSE),999)</f>
        <v>90</v>
      </c>
      <c r="J120" s="5">
        <f>VLOOKUP(U14Mruns[[#This Row],[pos2.0117]],pointstable[],2,FALSE)</f>
        <v>0</v>
      </c>
      <c r="K120" s="5">
        <f>IFERROR(VLOOKUP(U14Mruns[[#This Row],[Card]],results0119[],4,FALSE),999)</f>
        <v>63</v>
      </c>
      <c r="L120" s="5">
        <f>VLOOKUP(U14Mruns[[#This Row],[pos1.0119]],pointstable[],2,FALSE)</f>
        <v>0</v>
      </c>
      <c r="M120" s="5">
        <f>IFERROR(VLOOKUP(U14Mruns[[#This Row],[Card]],results0119[],5,FALSE),999)</f>
        <v>82</v>
      </c>
      <c r="N120" s="5">
        <f>VLOOKUP(U14Mruns[[#This Row],[pos2.0119]],pointstable[],2,FALSE)</f>
        <v>0</v>
      </c>
      <c r="O120" s="5">
        <f>IFERROR(VLOOKUP(U14Mruns[[#This Row],[Card]],results0121[],3,FALSE),999)</f>
        <v>999</v>
      </c>
      <c r="P120" s="5">
        <f>VLOOKUP(U14Mruns[[#This Row],[pos0121]],pointstable[],2,FALSE)</f>
        <v>0</v>
      </c>
      <c r="Q120" s="5">
        <f>IFERROR(VLOOKUP(U14Mruns[[#This Row],[Card]],results0118[],4,FALSE),999)</f>
        <v>95</v>
      </c>
      <c r="R120" s="5">
        <f>VLOOKUP(U14Mruns[[#This Row],[pos1.0118]],pointstable[],2,FALSE)</f>
        <v>0</v>
      </c>
      <c r="S120" s="5">
        <f>IFERROR(VLOOKUP(U14Mruns[[#This Row],[Card]],results0118[],5,FALSE),999)</f>
        <v>92</v>
      </c>
      <c r="T120" s="5">
        <f>VLOOKUP(U14Mruns[[#This Row],[pos2.0118]],pointstable[],2,FALSE)</f>
        <v>0</v>
      </c>
      <c r="U120" s="5">
        <f>IFERROR(VLOOKUP(U14Mruns[[#This Row],[Card]],results0123[],4,FALSE),999)</f>
        <v>94</v>
      </c>
      <c r="V120" s="5">
        <f>VLOOKUP(U14Mruns[[#This Row],[pos1.0123]],pointstable[],2,FALSE)</f>
        <v>0</v>
      </c>
      <c r="W120" s="5">
        <f>IFERROR(VLOOKUP(U14Mruns[[#This Row],[Card]],results0123[],5,FALSE),999)</f>
        <v>85</v>
      </c>
      <c r="X120" s="5">
        <f>VLOOKUP(U14Mruns[[#This Row],[pos2.0123]],pointstable[],2,FALSE)</f>
        <v>0</v>
      </c>
      <c r="Y120" s="5">
        <f>IFERROR(VLOOKUP(U14Mruns[[#This Row],[Card]],results0120[],4,FALSE),999)</f>
        <v>67</v>
      </c>
      <c r="Z120" s="5">
        <f>VLOOKUP(U14Mruns[[#This Row],[pos1.0120]],pointstable[],2,FALSE)</f>
        <v>0</v>
      </c>
      <c r="AA120" s="5">
        <f>IFERROR(VLOOKUP(U14Mruns[[#This Row],[Card]],results0120[],5,FALSE),999)</f>
        <v>71</v>
      </c>
      <c r="AB120" s="5">
        <f>VLOOKUP(U14Mruns[[#This Row],[pos2.0120]],pointstable[],2,FALSE)</f>
        <v>0</v>
      </c>
    </row>
    <row r="121" spans="1:28" x14ac:dyDescent="0.25">
      <c r="A121" s="26">
        <v>78726</v>
      </c>
      <c r="B121" s="27" t="s">
        <v>322</v>
      </c>
      <c r="C121" s="27" t="s">
        <v>309</v>
      </c>
      <c r="D121" s="27">
        <v>4</v>
      </c>
      <c r="E121" s="5">
        <f>MAX(U14Mruns[[#This Row],[pts1.0119]],U14Mruns[[#This Row],[pts2.0119]],U14Mruns[[#This Row],[pts1.0118]],U14Mruns[[#This Row],[pts2.0118]],U14Mruns[[#This Row],[pts1.0120]],U14Mruns[[#This Row],[pts2.0120]])</f>
        <v>0</v>
      </c>
      <c r="F121" s="5">
        <f>MAX(U14Mruns[[#This Row],[pts1.0117]],U14Mruns[[#This Row],[pts2.0117]],U14Mruns[[#This Row],[pts0121]],U14Mruns[[#This Row],[pts1.0123]],U14Mruns[[#This Row],[pts2.0123]])</f>
        <v>0</v>
      </c>
      <c r="G121" s="5">
        <f>IFERROR(VLOOKUP(U14Mruns[[#This Row],[Card]],results0117[],4,FALSE),999)</f>
        <v>999</v>
      </c>
      <c r="H121" s="5">
        <f>VLOOKUP(U14Mruns[[#This Row],[pos1.0117]],pointstable[],2,FALSE)</f>
        <v>0</v>
      </c>
      <c r="I121" s="5">
        <f>IFERROR(VLOOKUP(U14Mruns[[#This Row],[Card]],results0117[],5,FALSE),999)</f>
        <v>999</v>
      </c>
      <c r="J121" s="5">
        <f>VLOOKUP(U14Mruns[[#This Row],[pos2.0117]],pointstable[],2,FALSE)</f>
        <v>0</v>
      </c>
      <c r="K121" s="5">
        <f>IFERROR(VLOOKUP(U14Mruns[[#This Row],[Card]],results0119[],4,FALSE),999)</f>
        <v>999</v>
      </c>
      <c r="L121" s="5">
        <f>VLOOKUP(U14Mruns[[#This Row],[pos1.0119]],pointstable[],2,FALSE)</f>
        <v>0</v>
      </c>
      <c r="M121" s="5">
        <f>IFERROR(VLOOKUP(U14Mruns[[#This Row],[Card]],results0119[],5,FALSE),999)</f>
        <v>999</v>
      </c>
      <c r="N121" s="5">
        <f>VLOOKUP(U14Mruns[[#This Row],[pos2.0119]],pointstable[],2,FALSE)</f>
        <v>0</v>
      </c>
      <c r="O121" s="5">
        <f>IFERROR(VLOOKUP(U14Mruns[[#This Row],[Card]],results0121[],3,FALSE),999)</f>
        <v>999</v>
      </c>
      <c r="P121" s="5">
        <f>VLOOKUP(U14Mruns[[#This Row],[pos0121]],pointstable[],2,FALSE)</f>
        <v>0</v>
      </c>
      <c r="Q121" s="5">
        <f>IFERROR(VLOOKUP(U14Mruns[[#This Row],[Card]],results0118[],4,FALSE),999)</f>
        <v>999</v>
      </c>
      <c r="R121" s="5">
        <f>VLOOKUP(U14Mruns[[#This Row],[pos1.0118]],pointstable[],2,FALSE)</f>
        <v>0</v>
      </c>
      <c r="S121" s="5">
        <f>IFERROR(VLOOKUP(U14Mruns[[#This Row],[Card]],results0118[],5,FALSE),999)</f>
        <v>999</v>
      </c>
      <c r="T121" s="5">
        <f>VLOOKUP(U14Mruns[[#This Row],[pos2.0118]],pointstable[],2,FALSE)</f>
        <v>0</v>
      </c>
      <c r="U121" s="5">
        <f>IFERROR(VLOOKUP(U14Mruns[[#This Row],[Card]],results0123[],4,FALSE),999)</f>
        <v>999</v>
      </c>
      <c r="V121" s="5">
        <f>VLOOKUP(U14Mruns[[#This Row],[pos1.0123]],pointstable[],2,FALSE)</f>
        <v>0</v>
      </c>
      <c r="W121" s="5">
        <f>IFERROR(VLOOKUP(U14Mruns[[#This Row],[Card]],results0123[],5,FALSE),999)</f>
        <v>999</v>
      </c>
      <c r="X121" s="5">
        <f>VLOOKUP(U14Mruns[[#This Row],[pos2.0123]],pointstable[],2,FALSE)</f>
        <v>0</v>
      </c>
      <c r="Y121" s="5">
        <f>IFERROR(VLOOKUP(U14Mruns[[#This Row],[Card]],results0120[],4,FALSE),999)</f>
        <v>999</v>
      </c>
      <c r="Z121" s="5">
        <f>VLOOKUP(U14Mruns[[#This Row],[pos1.0120]],pointstable[],2,FALSE)</f>
        <v>0</v>
      </c>
      <c r="AA121" s="5">
        <f>IFERROR(VLOOKUP(U14Mruns[[#This Row],[Card]],results0120[],5,FALSE),999)</f>
        <v>999</v>
      </c>
      <c r="AB121" s="5">
        <f>VLOOKUP(U14Mruns[[#This Row],[pos2.0120]],pointstable[],2,FALSE)</f>
        <v>0</v>
      </c>
    </row>
    <row r="122" spans="1:28" x14ac:dyDescent="0.25">
      <c r="A122">
        <v>81081</v>
      </c>
      <c r="B122" t="s">
        <v>330</v>
      </c>
      <c r="C122" t="s">
        <v>31</v>
      </c>
      <c r="D122" s="5">
        <v>5</v>
      </c>
      <c r="E122" s="5">
        <f>MAX(U14Mruns[[#This Row],[pts1.0119]],U14Mruns[[#This Row],[pts2.0119]],U14Mruns[[#This Row],[pts1.0118]],U14Mruns[[#This Row],[pts2.0118]],U14Mruns[[#This Row],[pts1.0120]],U14Mruns[[#This Row],[pts2.0120]])</f>
        <v>0</v>
      </c>
      <c r="F122" s="5">
        <f>MAX(U14Mruns[[#This Row],[pts1.0117]],U14Mruns[[#This Row],[pts2.0117]],U14Mruns[[#This Row],[pts0121]],U14Mruns[[#This Row],[pts1.0123]],U14Mruns[[#This Row],[pts2.0123]])</f>
        <v>0</v>
      </c>
      <c r="G122" s="5">
        <f>IFERROR(VLOOKUP(U14Mruns[[#This Row],[Card]],results0117[],4,FALSE),999)</f>
        <v>72</v>
      </c>
      <c r="H122" s="5">
        <f>VLOOKUP(U14Mruns[[#This Row],[pos1.0117]],pointstable[],2,FALSE)</f>
        <v>0</v>
      </c>
      <c r="I122" s="5">
        <f>IFERROR(VLOOKUP(U14Mruns[[#This Row],[Card]],results0117[],5,FALSE),999)</f>
        <v>76</v>
      </c>
      <c r="J122" s="5">
        <f>VLOOKUP(U14Mruns[[#This Row],[pos2.0117]],pointstable[],2,FALSE)</f>
        <v>0</v>
      </c>
      <c r="K122" s="5">
        <f>IFERROR(VLOOKUP(U14Mruns[[#This Row],[Card]],results0119[],4,FALSE),999)</f>
        <v>999</v>
      </c>
      <c r="L122" s="5">
        <f>VLOOKUP(U14Mruns[[#This Row],[pos1.0119]],pointstable[],2,FALSE)</f>
        <v>0</v>
      </c>
      <c r="M122" s="5">
        <f>IFERROR(VLOOKUP(U14Mruns[[#This Row],[Card]],results0119[],5,FALSE),999)</f>
        <v>999</v>
      </c>
      <c r="N122" s="5">
        <f>VLOOKUP(U14Mruns[[#This Row],[pos2.0119]],pointstable[],2,FALSE)</f>
        <v>0</v>
      </c>
      <c r="O122" s="5">
        <f>IFERROR(VLOOKUP(U14Mruns[[#This Row],[Card]],results0121[],3,FALSE),999)</f>
        <v>999</v>
      </c>
      <c r="P122" s="5">
        <f>VLOOKUP(U14Mruns[[#This Row],[pos0121]],pointstable[],2,FALSE)</f>
        <v>0</v>
      </c>
      <c r="Q122" s="5">
        <f>IFERROR(VLOOKUP(U14Mruns[[#This Row],[Card]],results0118[],4,FALSE),999)</f>
        <v>65</v>
      </c>
      <c r="R122" s="5">
        <f>VLOOKUP(U14Mruns[[#This Row],[pos1.0118]],pointstable[],2,FALSE)</f>
        <v>0</v>
      </c>
      <c r="S122" s="5">
        <f>IFERROR(VLOOKUP(U14Mruns[[#This Row],[Card]],results0118[],5,FALSE),999)</f>
        <v>66</v>
      </c>
      <c r="T122" s="5">
        <f>VLOOKUP(U14Mruns[[#This Row],[pos2.0118]],pointstable[],2,FALSE)</f>
        <v>0</v>
      </c>
      <c r="U122" s="5">
        <f>IFERROR(VLOOKUP(U14Mruns[[#This Row],[Card]],results0123[],4,FALSE),999)</f>
        <v>86</v>
      </c>
      <c r="V122" s="5">
        <f>VLOOKUP(U14Mruns[[#This Row],[pos1.0123]],pointstable[],2,FALSE)</f>
        <v>0</v>
      </c>
      <c r="W122" s="5">
        <f>IFERROR(VLOOKUP(U14Mruns[[#This Row],[Card]],results0123[],5,FALSE),999)</f>
        <v>69</v>
      </c>
      <c r="X122" s="5">
        <f>VLOOKUP(U14Mruns[[#This Row],[pos2.0123]],pointstable[],2,FALSE)</f>
        <v>0</v>
      </c>
      <c r="Y122" s="5">
        <f>IFERROR(VLOOKUP(U14Mruns[[#This Row],[Card]],results0120[],4,FALSE),999)</f>
        <v>61</v>
      </c>
      <c r="Z122" s="5">
        <f>VLOOKUP(U14Mruns[[#This Row],[pos1.0120]],pointstable[],2,FALSE)</f>
        <v>0</v>
      </c>
      <c r="AA122" s="5">
        <f>IFERROR(VLOOKUP(U14Mruns[[#This Row],[Card]],results0120[],5,FALSE),999)</f>
        <v>999</v>
      </c>
      <c r="AB122" s="5">
        <f>VLOOKUP(U14Mruns[[#This Row],[pos2.0120]],pointstable[],2,FALSE)</f>
        <v>0</v>
      </c>
    </row>
    <row r="123" spans="1:28" x14ac:dyDescent="0.25">
      <c r="A123">
        <v>86128</v>
      </c>
      <c r="B123" t="s">
        <v>461</v>
      </c>
      <c r="C123" t="s">
        <v>61</v>
      </c>
      <c r="D123" s="5">
        <v>5</v>
      </c>
      <c r="E123" s="5">
        <f>MAX(U14Mruns[[#This Row],[pts1.0119]],U14Mruns[[#This Row],[pts2.0119]],U14Mruns[[#This Row],[pts1.0118]],U14Mruns[[#This Row],[pts2.0118]],U14Mruns[[#This Row],[pts1.0120]],U14Mruns[[#This Row],[pts2.0120]])</f>
        <v>0</v>
      </c>
      <c r="F123" s="5">
        <f>MAX(U14Mruns[[#This Row],[pts1.0117]],U14Mruns[[#This Row],[pts2.0117]],U14Mruns[[#This Row],[pts0121]],U14Mruns[[#This Row],[pts1.0123]],U14Mruns[[#This Row],[pts2.0123]])</f>
        <v>0</v>
      </c>
      <c r="G123" s="5">
        <f>IFERROR(VLOOKUP(U14Mruns[[#This Row],[Card]],results0117[],4,FALSE),999)</f>
        <v>89</v>
      </c>
      <c r="H123" s="5">
        <f>VLOOKUP(U14Mruns[[#This Row],[pos1.0117]],pointstable[],2,FALSE)</f>
        <v>0</v>
      </c>
      <c r="I123" s="5">
        <f>IFERROR(VLOOKUP(U14Mruns[[#This Row],[Card]],results0117[],5,FALSE),999)</f>
        <v>86</v>
      </c>
      <c r="J123" s="5">
        <f>VLOOKUP(U14Mruns[[#This Row],[pos2.0117]],pointstable[],2,FALSE)</f>
        <v>0</v>
      </c>
      <c r="K123" s="5">
        <f>IFERROR(VLOOKUP(U14Mruns[[#This Row],[Card]],results0119[],4,FALSE),999)</f>
        <v>64</v>
      </c>
      <c r="L123" s="5">
        <f>VLOOKUP(U14Mruns[[#This Row],[pos1.0119]],pointstable[],2,FALSE)</f>
        <v>0</v>
      </c>
      <c r="M123" s="5">
        <f>IFERROR(VLOOKUP(U14Mruns[[#This Row],[Card]],results0119[],5,FALSE),999)</f>
        <v>92</v>
      </c>
      <c r="N123" s="5">
        <f>VLOOKUP(U14Mruns[[#This Row],[pos2.0119]],pointstable[],2,FALSE)</f>
        <v>0</v>
      </c>
      <c r="O123" s="5">
        <f>IFERROR(VLOOKUP(U14Mruns[[#This Row],[Card]],results0121[],3,FALSE),999)</f>
        <v>999</v>
      </c>
      <c r="P123" s="5">
        <f>VLOOKUP(U14Mruns[[#This Row],[pos0121]],pointstable[],2,FALSE)</f>
        <v>0</v>
      </c>
      <c r="Q123" s="5">
        <f>IFERROR(VLOOKUP(U14Mruns[[#This Row],[Card]],results0118[],4,FALSE),999)</f>
        <v>999</v>
      </c>
      <c r="R123" s="5">
        <f>VLOOKUP(U14Mruns[[#This Row],[pos1.0118]],pointstable[],2,FALSE)</f>
        <v>0</v>
      </c>
      <c r="S123" s="5">
        <f>IFERROR(VLOOKUP(U14Mruns[[#This Row],[Card]],results0118[],5,FALSE),999)</f>
        <v>999</v>
      </c>
      <c r="T123" s="5">
        <f>VLOOKUP(U14Mruns[[#This Row],[pos2.0118]],pointstable[],2,FALSE)</f>
        <v>0</v>
      </c>
      <c r="U123" s="5">
        <f>IFERROR(VLOOKUP(U14Mruns[[#This Row],[Card]],results0123[],4,FALSE),999)</f>
        <v>999</v>
      </c>
      <c r="V123" s="5">
        <f>VLOOKUP(U14Mruns[[#This Row],[pos1.0123]],pointstable[],2,FALSE)</f>
        <v>0</v>
      </c>
      <c r="W123" s="5">
        <f>IFERROR(VLOOKUP(U14Mruns[[#This Row],[Card]],results0123[],5,FALSE),999)</f>
        <v>999</v>
      </c>
      <c r="X123" s="5">
        <f>VLOOKUP(U14Mruns[[#This Row],[pos2.0123]],pointstable[],2,FALSE)</f>
        <v>0</v>
      </c>
      <c r="Y123" s="5">
        <f>IFERROR(VLOOKUP(U14Mruns[[#This Row],[Card]],results0120[],4,FALSE),999)</f>
        <v>999</v>
      </c>
      <c r="Z123" s="5">
        <f>VLOOKUP(U14Mruns[[#This Row],[pos1.0120]],pointstable[],2,FALSE)</f>
        <v>0</v>
      </c>
      <c r="AA123" s="5">
        <f>IFERROR(VLOOKUP(U14Mruns[[#This Row],[Card]],results0120[],5,FALSE),999)</f>
        <v>70</v>
      </c>
      <c r="AB123" s="5">
        <f>VLOOKUP(U14Mruns[[#This Row],[pos2.0120]],pointstable[],2,FALSE)</f>
        <v>0</v>
      </c>
    </row>
    <row r="124" spans="1:28" x14ac:dyDescent="0.25">
      <c r="A124">
        <v>87853</v>
      </c>
      <c r="B124" t="s">
        <v>463</v>
      </c>
      <c r="C124" t="s">
        <v>117</v>
      </c>
      <c r="D124" s="5">
        <v>5</v>
      </c>
      <c r="E124" s="5">
        <f>MAX(U14Mruns[[#This Row],[pts1.0119]],U14Mruns[[#This Row],[pts2.0119]],U14Mruns[[#This Row],[pts1.0118]],U14Mruns[[#This Row],[pts2.0118]],U14Mruns[[#This Row],[pts1.0120]],U14Mruns[[#This Row],[pts2.0120]])</f>
        <v>0</v>
      </c>
      <c r="F124" s="5">
        <f>MAX(U14Mruns[[#This Row],[pts1.0117]],U14Mruns[[#This Row],[pts2.0117]],U14Mruns[[#This Row],[pts0121]],U14Mruns[[#This Row],[pts1.0123]],U14Mruns[[#This Row],[pts2.0123]])</f>
        <v>0</v>
      </c>
      <c r="G124" s="5">
        <f>IFERROR(VLOOKUP(U14Mruns[[#This Row],[Card]],results0117[],4,FALSE),999)</f>
        <v>90</v>
      </c>
      <c r="H124" s="5">
        <f>VLOOKUP(U14Mruns[[#This Row],[pos1.0117]],pointstable[],2,FALSE)</f>
        <v>0</v>
      </c>
      <c r="I124" s="5">
        <f>IFERROR(VLOOKUP(U14Mruns[[#This Row],[Card]],results0117[],5,FALSE),999)</f>
        <v>81</v>
      </c>
      <c r="J124" s="5">
        <f>VLOOKUP(U14Mruns[[#This Row],[pos2.0117]],pointstable[],2,FALSE)</f>
        <v>0</v>
      </c>
      <c r="K124" s="5">
        <f>IFERROR(VLOOKUP(U14Mruns[[#This Row],[Card]],results0119[],4,FALSE),999)</f>
        <v>999</v>
      </c>
      <c r="L124" s="5">
        <f>VLOOKUP(U14Mruns[[#This Row],[pos1.0119]],pointstable[],2,FALSE)</f>
        <v>0</v>
      </c>
      <c r="M124" s="5">
        <f>IFERROR(VLOOKUP(U14Mruns[[#This Row],[Card]],results0119[],5,FALSE),999)</f>
        <v>96</v>
      </c>
      <c r="N124" s="5">
        <f>VLOOKUP(U14Mruns[[#This Row],[pos2.0119]],pointstable[],2,FALSE)</f>
        <v>0</v>
      </c>
      <c r="O124" s="5">
        <f>IFERROR(VLOOKUP(U14Mruns[[#This Row],[Card]],results0121[],3,FALSE),999)</f>
        <v>999</v>
      </c>
      <c r="P124" s="5">
        <f>VLOOKUP(U14Mruns[[#This Row],[pos0121]],pointstable[],2,FALSE)</f>
        <v>0</v>
      </c>
      <c r="Q124" s="5">
        <f>IFERROR(VLOOKUP(U14Mruns[[#This Row],[Card]],results0118[],4,FALSE),999)</f>
        <v>999</v>
      </c>
      <c r="R124" s="5">
        <f>VLOOKUP(U14Mruns[[#This Row],[pos1.0118]],pointstable[],2,FALSE)</f>
        <v>0</v>
      </c>
      <c r="S124" s="5">
        <f>IFERROR(VLOOKUP(U14Mruns[[#This Row],[Card]],results0118[],5,FALSE),999)</f>
        <v>999</v>
      </c>
      <c r="T124" s="5">
        <f>VLOOKUP(U14Mruns[[#This Row],[pos2.0118]],pointstable[],2,FALSE)</f>
        <v>0</v>
      </c>
      <c r="U124" s="5">
        <f>IFERROR(VLOOKUP(U14Mruns[[#This Row],[Card]],results0123[],4,FALSE),999)</f>
        <v>999</v>
      </c>
      <c r="V124" s="5">
        <f>VLOOKUP(U14Mruns[[#This Row],[pos1.0123]],pointstable[],2,FALSE)</f>
        <v>0</v>
      </c>
      <c r="W124" s="5">
        <f>IFERROR(VLOOKUP(U14Mruns[[#This Row],[Card]],results0123[],5,FALSE),999)</f>
        <v>999</v>
      </c>
      <c r="X124" s="5">
        <f>VLOOKUP(U14Mruns[[#This Row],[pos2.0123]],pointstable[],2,FALSE)</f>
        <v>0</v>
      </c>
      <c r="Y124" s="5">
        <f>IFERROR(VLOOKUP(U14Mruns[[#This Row],[Card]],results0120[],4,FALSE),999)</f>
        <v>999</v>
      </c>
      <c r="Z124" s="5">
        <f>VLOOKUP(U14Mruns[[#This Row],[pos1.0120]],pointstable[],2,FALSE)</f>
        <v>0</v>
      </c>
      <c r="AA124" s="5">
        <f>IFERROR(VLOOKUP(U14Mruns[[#This Row],[Card]],results0120[],5,FALSE),999)</f>
        <v>999</v>
      </c>
      <c r="AB124" s="5">
        <f>VLOOKUP(U14Mruns[[#This Row],[pos2.0120]],pointstable[],2,FALSE)</f>
        <v>0</v>
      </c>
    </row>
  </sheetData>
  <mergeCells count="6">
    <mergeCell ref="Y1:AB1"/>
    <mergeCell ref="G1:J1"/>
    <mergeCell ref="K1:N1"/>
    <mergeCell ref="Q1:T1"/>
    <mergeCell ref="O1:P1"/>
    <mergeCell ref="U1:X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workbookViewId="0">
      <selection activeCell="B16" sqref="B16"/>
    </sheetView>
  </sheetViews>
  <sheetFormatPr defaultRowHeight="15" x14ac:dyDescent="0.25"/>
  <cols>
    <col min="2" max="2" width="22.7109375" bestFit="1" customWidth="1"/>
    <col min="3" max="3" width="6.28515625" customWidth="1"/>
    <col min="4" max="4" width="7" bestFit="1" customWidth="1"/>
    <col min="5" max="5" width="11.85546875" bestFit="1" customWidth="1"/>
  </cols>
  <sheetData>
    <row r="1" spans="1:19" ht="14.45" x14ac:dyDescent="0.3">
      <c r="F1" s="39" t="s">
        <v>331</v>
      </c>
      <c r="G1" s="39"/>
      <c r="H1" s="39" t="s">
        <v>391</v>
      </c>
      <c r="I1" s="39"/>
      <c r="J1" s="39" t="s">
        <v>392</v>
      </c>
      <c r="K1" s="39"/>
      <c r="L1" s="34" t="s">
        <v>227</v>
      </c>
      <c r="M1" s="39" t="s">
        <v>331</v>
      </c>
      <c r="N1" s="39"/>
      <c r="O1" s="39" t="s">
        <v>391</v>
      </c>
      <c r="P1" s="39"/>
      <c r="Q1" s="39" t="s">
        <v>392</v>
      </c>
      <c r="R1" s="39"/>
      <c r="S1" s="34" t="s">
        <v>227</v>
      </c>
    </row>
    <row r="2" spans="1:19" ht="14.45" x14ac:dyDescent="0.3">
      <c r="F2" s="4" t="s">
        <v>609</v>
      </c>
      <c r="G2" s="4" t="s">
        <v>611</v>
      </c>
      <c r="H2" s="4" t="s">
        <v>609</v>
      </c>
      <c r="I2" s="4" t="s">
        <v>611</v>
      </c>
      <c r="J2" s="4" t="s">
        <v>609</v>
      </c>
      <c r="K2" s="4" t="s">
        <v>611</v>
      </c>
      <c r="L2" s="4" t="s">
        <v>228</v>
      </c>
      <c r="M2" s="4" t="s">
        <v>610</v>
      </c>
      <c r="N2" s="4" t="s">
        <v>612</v>
      </c>
      <c r="O2" s="4" t="s">
        <v>610</v>
      </c>
      <c r="P2" s="4" t="s">
        <v>612</v>
      </c>
      <c r="Q2" s="4" t="s">
        <v>610</v>
      </c>
      <c r="R2" s="4" t="s">
        <v>612</v>
      </c>
      <c r="S2" s="4" t="s">
        <v>229</v>
      </c>
    </row>
    <row r="3" spans="1:19" ht="14.45" x14ac:dyDescent="0.3">
      <c r="A3" t="s">
        <v>3</v>
      </c>
      <c r="B3" t="s">
        <v>4</v>
      </c>
      <c r="C3" t="s">
        <v>7</v>
      </c>
      <c r="D3" t="s">
        <v>5</v>
      </c>
      <c r="E3" t="s">
        <v>635</v>
      </c>
      <c r="F3" s="3" t="s">
        <v>621</v>
      </c>
      <c r="G3" s="3" t="s">
        <v>624</v>
      </c>
      <c r="H3" s="3" t="s">
        <v>626</v>
      </c>
      <c r="I3" s="3" t="s">
        <v>628</v>
      </c>
      <c r="J3" s="33" t="s">
        <v>630</v>
      </c>
      <c r="K3" s="33" t="s">
        <v>631</v>
      </c>
      <c r="L3" s="3" t="s">
        <v>334</v>
      </c>
      <c r="M3" s="3" t="s">
        <v>622</v>
      </c>
      <c r="N3" s="3" t="s">
        <v>625</v>
      </c>
      <c r="O3" s="3" t="s">
        <v>627</v>
      </c>
      <c r="P3" s="3" t="s">
        <v>629</v>
      </c>
      <c r="Q3" s="3" t="s">
        <v>623</v>
      </c>
      <c r="R3" s="3" t="s">
        <v>632</v>
      </c>
      <c r="S3" s="3" t="s">
        <v>335</v>
      </c>
    </row>
    <row r="4" spans="1:19" ht="14.45" x14ac:dyDescent="0.3">
      <c r="A4">
        <v>80713</v>
      </c>
      <c r="B4" t="s">
        <v>21</v>
      </c>
      <c r="C4" t="s">
        <v>22</v>
      </c>
      <c r="D4">
        <v>4</v>
      </c>
      <c r="E4" s="5">
        <f>SUM(LARGE(M4:S4,{1,2,3,4,5}))</f>
        <v>1645</v>
      </c>
      <c r="F4" s="5">
        <f>IFERROR(VLOOKUP(U14MMWruns[[#This Row],[Card]],results0124[],4,FALSE),999)</f>
        <v>6</v>
      </c>
      <c r="G4" s="5">
        <f>IFERROR(VLOOKUP(U14MMWruns[[#This Row],[Card]],results0124[],5,FALSE),999)</f>
        <v>9</v>
      </c>
      <c r="H4" s="5">
        <f>IFERROR(VLOOKUP(U14MMWruns[[#This Row],[Card]],results0140[],4,FALSE),999)</f>
        <v>999</v>
      </c>
      <c r="I4" s="5">
        <f>IFERROR(VLOOKUP(U14MMWruns[[#This Row],[Card]],results0140[],5,FALSE),999)</f>
        <v>1</v>
      </c>
      <c r="J4" s="5">
        <f>IFERROR(VLOOKUP(U14MMWruns[[#This Row],[Card]],results0125[],4,FALSE),999)</f>
        <v>9</v>
      </c>
      <c r="K4" s="5">
        <f>IFERROR(VLOOKUP(U14MMWruns[[#This Row],[Card]],results0125[],5,FALSE),999)</f>
        <v>1</v>
      </c>
      <c r="L4" s="5">
        <f>IFERROR(VLOOKUP(U14MMWruns[[#This Row],[Card]],results0122[],3,FALSE),999)</f>
        <v>3</v>
      </c>
      <c r="M4" s="5">
        <f>VLOOKUP(U14MMWruns[[#This Row],[pos1.0124]],pointstable[],2,FALSE)</f>
        <v>200</v>
      </c>
      <c r="N4" s="5">
        <f>VLOOKUP(U14MMWruns[[#This Row],[POS2.0124]],pointstable[],2,FALSE)</f>
        <v>145</v>
      </c>
      <c r="O4" s="5">
        <f>VLOOKUP(U14MMWruns[[#This Row],[pos1.0140]],pointstable[],2,FALSE)</f>
        <v>0</v>
      </c>
      <c r="P4" s="5">
        <f>VLOOKUP(U14MMWruns[[#This Row],[pos2.0140]],pointstable[],2,FALSE)</f>
        <v>500</v>
      </c>
      <c r="Q4" s="5">
        <f>VLOOKUP(U14MMWruns[[#This Row],[pos1.0125]],pointstable[],2,FALSE)</f>
        <v>145</v>
      </c>
      <c r="R4" s="5">
        <f>VLOOKUP(U14MMWruns[[#This Row],[pos2.025]],pointstable[],2,FALSE)</f>
        <v>500</v>
      </c>
      <c r="S4" s="5">
        <f>VLOOKUP(U14MMWruns[[#This Row],[pos0122]],pointstable[],2,FALSE)</f>
        <v>300</v>
      </c>
    </row>
    <row r="5" spans="1:19" ht="14.45" x14ac:dyDescent="0.3">
      <c r="A5">
        <v>78517</v>
      </c>
      <c r="B5" t="s">
        <v>14</v>
      </c>
      <c r="C5" t="s">
        <v>15</v>
      </c>
      <c r="D5">
        <v>4</v>
      </c>
      <c r="E5" s="35">
        <f>SUM(LARGE(M5:S5,{1,2,3,4,5}))</f>
        <v>1550</v>
      </c>
      <c r="F5" s="5">
        <f>IFERROR(VLOOKUP(U14MMWruns[[#This Row],[Card]],results0124[],4,FALSE),999)</f>
        <v>3</v>
      </c>
      <c r="G5" s="5">
        <f>IFERROR(VLOOKUP(U14MMWruns[[#This Row],[Card]],results0124[],5,FALSE),999)</f>
        <v>3</v>
      </c>
      <c r="H5" s="5">
        <f>IFERROR(VLOOKUP(U14MMWruns[[#This Row],[Card]],results0140[],4,FALSE),999)</f>
        <v>999</v>
      </c>
      <c r="I5" s="5">
        <f>IFERROR(VLOOKUP(U14MMWruns[[#This Row],[Card]],results0140[],5,FALSE),999)</f>
        <v>999</v>
      </c>
      <c r="J5" s="5">
        <f>IFERROR(VLOOKUP(U14MMWruns[[#This Row],[Card]],results0125[],4,FALSE),999)</f>
        <v>6</v>
      </c>
      <c r="K5" s="5">
        <f>IFERROR(VLOOKUP(U14MMWruns[[#This Row],[Card]],results0125[],5,FALSE),999)</f>
        <v>4</v>
      </c>
      <c r="L5" s="5">
        <f>IFERROR(VLOOKUP(U14MMWruns[[#This Row],[Card]],results0122[],3,FALSE),999)</f>
        <v>1</v>
      </c>
      <c r="M5" s="5">
        <f>VLOOKUP(U14MMWruns[[#This Row],[pos1.0124]],pointstable[],2,FALSE)</f>
        <v>300</v>
      </c>
      <c r="N5" s="5">
        <f>VLOOKUP(U14MMWruns[[#This Row],[POS2.0124]],pointstable[],2,FALSE)</f>
        <v>300</v>
      </c>
      <c r="O5" s="5">
        <f>VLOOKUP(U14MMWruns[[#This Row],[pos1.0140]],pointstable[],2,FALSE)</f>
        <v>0</v>
      </c>
      <c r="P5" s="5">
        <f>VLOOKUP(U14MMWruns[[#This Row],[pos2.0140]],pointstable[],2,FALSE)</f>
        <v>0</v>
      </c>
      <c r="Q5" s="5">
        <f>VLOOKUP(U14MMWruns[[#This Row],[pos1.0125]],pointstable[],2,FALSE)</f>
        <v>200</v>
      </c>
      <c r="R5" s="5">
        <f>VLOOKUP(U14MMWruns[[#This Row],[pos2.025]],pointstable[],2,FALSE)</f>
        <v>250</v>
      </c>
      <c r="S5" s="5">
        <f>VLOOKUP(U14MMWruns[[#This Row],[pos0122]],pointstable[],2,FALSE)</f>
        <v>500</v>
      </c>
    </row>
    <row r="6" spans="1:19" ht="14.45" x14ac:dyDescent="0.3">
      <c r="A6">
        <v>81073</v>
      </c>
      <c r="B6" t="s">
        <v>40</v>
      </c>
      <c r="C6" t="s">
        <v>15</v>
      </c>
      <c r="D6">
        <v>4</v>
      </c>
      <c r="E6" s="5">
        <f>SUM(LARGE(M6:S6,{1,2,3,4,5}))</f>
        <v>1481</v>
      </c>
      <c r="F6" s="5">
        <f>IFERROR(VLOOKUP(U14MMWruns[[#This Row],[Card]],results0124[],4,FALSE),999)</f>
        <v>2</v>
      </c>
      <c r="G6" s="5">
        <f>IFERROR(VLOOKUP(U14MMWruns[[#This Row],[Card]],results0124[],5,FALSE),999)</f>
        <v>1</v>
      </c>
      <c r="H6" s="5">
        <f>IFERROR(VLOOKUP(U14MMWruns[[#This Row],[Card]],results0140[],4,FALSE),999)</f>
        <v>999</v>
      </c>
      <c r="I6" s="5">
        <f>IFERROR(VLOOKUP(U14MMWruns[[#This Row],[Card]],results0140[],5,FALSE),999)</f>
        <v>37</v>
      </c>
      <c r="J6" s="5">
        <f>IFERROR(VLOOKUP(U14MMWruns[[#This Row],[Card]],results0125[],4,FALSE),999)</f>
        <v>21</v>
      </c>
      <c r="K6" s="5">
        <f>IFERROR(VLOOKUP(U14MMWruns[[#This Row],[Card]],results0125[],5,FALSE),999)</f>
        <v>2</v>
      </c>
      <c r="L6" s="5">
        <f>IFERROR(VLOOKUP(U14MMWruns[[#This Row],[Card]],results0122[],3,FALSE),999)</f>
        <v>10</v>
      </c>
      <c r="M6" s="5">
        <f>VLOOKUP(U14MMWruns[[#This Row],[pos1.0124]],pointstable[],2,FALSE)</f>
        <v>400</v>
      </c>
      <c r="N6" s="5">
        <f>VLOOKUP(U14MMWruns[[#This Row],[POS2.0124]],pointstable[],2,FALSE)</f>
        <v>500</v>
      </c>
      <c r="O6" s="5">
        <f>VLOOKUP(U14MMWruns[[#This Row],[pos1.0140]],pointstable[],2,FALSE)</f>
        <v>0</v>
      </c>
      <c r="P6" s="5">
        <f>VLOOKUP(U14MMWruns[[#This Row],[pos2.0140]],pointstable[],2,FALSE)</f>
        <v>23</v>
      </c>
      <c r="Q6" s="5">
        <f>VLOOKUP(U14MMWruns[[#This Row],[pos1.0125]],pointstable[],2,FALSE)</f>
        <v>51</v>
      </c>
      <c r="R6" s="5">
        <f>VLOOKUP(U14MMWruns[[#This Row],[pos2.025]],pointstable[],2,FALSE)</f>
        <v>400</v>
      </c>
      <c r="S6" s="5">
        <f>VLOOKUP(U14MMWruns[[#This Row],[pos0122]],pointstable[],2,FALSE)</f>
        <v>130</v>
      </c>
    </row>
    <row r="7" spans="1:19" ht="14.45" x14ac:dyDescent="0.3">
      <c r="A7">
        <v>80698</v>
      </c>
      <c r="B7" t="s">
        <v>30</v>
      </c>
      <c r="C7" t="s">
        <v>31</v>
      </c>
      <c r="D7">
        <v>4</v>
      </c>
      <c r="E7" s="5">
        <f>SUM(LARGE(M7:S7,{1,2,3,4,5}))</f>
        <v>1380</v>
      </c>
      <c r="F7" s="5">
        <f>IFERROR(VLOOKUP(U14MMWruns[[#This Row],[Card]],results0124[],4,FALSE),999)</f>
        <v>1</v>
      </c>
      <c r="G7" s="5">
        <f>IFERROR(VLOOKUP(U14MMWruns[[#This Row],[Card]],results0124[],5,FALSE),999)</f>
        <v>4</v>
      </c>
      <c r="H7" s="5">
        <f>IFERROR(VLOOKUP(U14MMWruns[[#This Row],[Card]],results0140[],4,FALSE),999)</f>
        <v>27</v>
      </c>
      <c r="I7" s="5">
        <f>IFERROR(VLOOKUP(U14MMWruns[[#This Row],[Card]],results0140[],5,FALSE),999)</f>
        <v>999</v>
      </c>
      <c r="J7" s="5">
        <f>IFERROR(VLOOKUP(U14MMWruns[[#This Row],[Card]],results0125[],4,FALSE),999)</f>
        <v>5</v>
      </c>
      <c r="K7" s="5">
        <f>IFERROR(VLOOKUP(U14MMWruns[[#This Row],[Card]],results0125[],5,FALSE),999)</f>
        <v>5</v>
      </c>
      <c r="L7" s="5">
        <f>IFERROR(VLOOKUP(U14MMWruns[[#This Row],[Card]],results0122[],3,FALSE),999)</f>
        <v>7</v>
      </c>
      <c r="M7" s="5">
        <f>VLOOKUP(U14MMWruns[[#This Row],[pos1.0124]],pointstable[],2,FALSE)</f>
        <v>500</v>
      </c>
      <c r="N7" s="5">
        <f>VLOOKUP(U14MMWruns[[#This Row],[POS2.0124]],pointstable[],2,FALSE)</f>
        <v>250</v>
      </c>
      <c r="O7" s="5">
        <f>VLOOKUP(U14MMWruns[[#This Row],[pos1.0140]],pointstable[],2,FALSE)</f>
        <v>34</v>
      </c>
      <c r="P7" s="5">
        <f>VLOOKUP(U14MMWruns[[#This Row],[pos2.0140]],pointstable[],2,FALSE)</f>
        <v>0</v>
      </c>
      <c r="Q7" s="5">
        <f>VLOOKUP(U14MMWruns[[#This Row],[pos1.0125]],pointstable[],2,FALSE)</f>
        <v>225</v>
      </c>
      <c r="R7" s="5">
        <f>VLOOKUP(U14MMWruns[[#This Row],[pos2.025]],pointstable[],2,FALSE)</f>
        <v>225</v>
      </c>
      <c r="S7" s="5">
        <f>VLOOKUP(U14MMWruns[[#This Row],[pos0122]],pointstable[],2,FALSE)</f>
        <v>180</v>
      </c>
    </row>
    <row r="8" spans="1:19" ht="14.45" x14ac:dyDescent="0.3">
      <c r="A8">
        <v>80621</v>
      </c>
      <c r="B8" t="s">
        <v>18</v>
      </c>
      <c r="C8" t="s">
        <v>19</v>
      </c>
      <c r="D8">
        <v>4</v>
      </c>
      <c r="E8" s="5">
        <f>SUM(LARGE(M8:S8,{1,2,3,4,5}))</f>
        <v>1270</v>
      </c>
      <c r="F8" s="5">
        <f>IFERROR(VLOOKUP(U14MMWruns[[#This Row],[Card]],results0124[],4,FALSE),999)</f>
        <v>12</v>
      </c>
      <c r="G8" s="5">
        <f>IFERROR(VLOOKUP(U14MMWruns[[#This Row],[Card]],results0124[],5,FALSE),999)</f>
        <v>6</v>
      </c>
      <c r="H8" s="5">
        <f>IFERROR(VLOOKUP(U14MMWruns[[#This Row],[Card]],results0140[],4,FALSE),999)</f>
        <v>2</v>
      </c>
      <c r="I8" s="5">
        <f>IFERROR(VLOOKUP(U14MMWruns[[#This Row],[Card]],results0140[],5,FALSE),999)</f>
        <v>999</v>
      </c>
      <c r="J8" s="5">
        <f>IFERROR(VLOOKUP(U14MMWruns[[#This Row],[Card]],results0125[],4,FALSE),999)</f>
        <v>8</v>
      </c>
      <c r="K8" s="5">
        <f>IFERROR(VLOOKUP(U14MMWruns[[#This Row],[Card]],results0125[],5,FALSE),999)</f>
        <v>17</v>
      </c>
      <c r="L8" s="5">
        <f>IFERROR(VLOOKUP(U14MMWruns[[#This Row],[Card]],results0122[],3,FALSE),999)</f>
        <v>2</v>
      </c>
      <c r="M8" s="5">
        <f>VLOOKUP(U14MMWruns[[#This Row],[pos1.0124]],pointstable[],2,FALSE)</f>
        <v>110</v>
      </c>
      <c r="N8" s="5">
        <f>VLOOKUP(U14MMWruns[[#This Row],[POS2.0124]],pointstable[],2,FALSE)</f>
        <v>200</v>
      </c>
      <c r="O8" s="5">
        <f>VLOOKUP(U14MMWruns[[#This Row],[pos1.0140]],pointstable[],2,FALSE)</f>
        <v>400</v>
      </c>
      <c r="P8" s="5">
        <f>VLOOKUP(U14MMWruns[[#This Row],[pos2.0140]],pointstable[],2,FALSE)</f>
        <v>0</v>
      </c>
      <c r="Q8" s="5">
        <f>VLOOKUP(U14MMWruns[[#This Row],[pos1.0125]],pointstable[],2,FALSE)</f>
        <v>160</v>
      </c>
      <c r="R8" s="5">
        <f>VLOOKUP(U14MMWruns[[#This Row],[pos2.025]],pointstable[],2,FALSE)</f>
        <v>70</v>
      </c>
      <c r="S8" s="5">
        <f>VLOOKUP(U14MMWruns[[#This Row],[pos0122]],pointstable[],2,FALSE)</f>
        <v>400</v>
      </c>
    </row>
    <row r="9" spans="1:19" ht="14.45" x14ac:dyDescent="0.3">
      <c r="A9">
        <v>77368</v>
      </c>
      <c r="B9" t="s">
        <v>35</v>
      </c>
      <c r="C9" t="s">
        <v>15</v>
      </c>
      <c r="D9">
        <v>4</v>
      </c>
      <c r="E9" s="5">
        <f>SUM(LARGE(M9:S9,{1,2,3,4,5}))</f>
        <v>1175</v>
      </c>
      <c r="F9" s="5">
        <f>IFERROR(VLOOKUP(U14MMWruns[[#This Row],[Card]],results0124[],4,FALSE),999)</f>
        <v>7</v>
      </c>
      <c r="G9" s="5">
        <f>IFERROR(VLOOKUP(U14MMWruns[[#This Row],[Card]],results0124[],5,FALSE),999)</f>
        <v>2</v>
      </c>
      <c r="H9" s="5">
        <f>IFERROR(VLOOKUP(U14MMWruns[[#This Row],[Card]],results0140[],4,FALSE),999)</f>
        <v>999</v>
      </c>
      <c r="I9" s="5">
        <f>IFERROR(VLOOKUP(U14MMWruns[[#This Row],[Card]],results0140[],5,FALSE),999)</f>
        <v>27</v>
      </c>
      <c r="J9" s="5">
        <f>IFERROR(VLOOKUP(U14MMWruns[[#This Row],[Card]],results0125[],4,FALSE),999)</f>
        <v>4</v>
      </c>
      <c r="K9" s="5">
        <f>IFERROR(VLOOKUP(U14MMWruns[[#This Row],[Card]],results0125[],5,FALSE),999)</f>
        <v>6</v>
      </c>
      <c r="L9" s="5">
        <f>IFERROR(VLOOKUP(U14MMWruns[[#This Row],[Card]],results0122[],3,FALSE),999)</f>
        <v>9</v>
      </c>
      <c r="M9" s="5">
        <f>VLOOKUP(U14MMWruns[[#This Row],[pos1.0124]],pointstable[],2,FALSE)</f>
        <v>180</v>
      </c>
      <c r="N9" s="5">
        <f>VLOOKUP(U14MMWruns[[#This Row],[POS2.0124]],pointstable[],2,FALSE)</f>
        <v>400</v>
      </c>
      <c r="O9" s="5">
        <f>VLOOKUP(U14MMWruns[[#This Row],[pos1.0140]],pointstable[],2,FALSE)</f>
        <v>0</v>
      </c>
      <c r="P9" s="5">
        <f>VLOOKUP(U14MMWruns[[#This Row],[pos2.0140]],pointstable[],2,FALSE)</f>
        <v>34</v>
      </c>
      <c r="Q9" s="5">
        <f>VLOOKUP(U14MMWruns[[#This Row],[pos1.0125]],pointstable[],2,FALSE)</f>
        <v>250</v>
      </c>
      <c r="R9" s="5">
        <f>VLOOKUP(U14MMWruns[[#This Row],[pos2.025]],pointstable[],2,FALSE)</f>
        <v>200</v>
      </c>
      <c r="S9" s="5">
        <f>VLOOKUP(U14MMWruns[[#This Row],[pos0122]],pointstable[],2,FALSE)</f>
        <v>145</v>
      </c>
    </row>
    <row r="10" spans="1:19" ht="14.45" x14ac:dyDescent="0.3">
      <c r="A10">
        <v>82440</v>
      </c>
      <c r="B10" t="s">
        <v>56</v>
      </c>
      <c r="C10" t="s">
        <v>15</v>
      </c>
      <c r="D10">
        <v>4</v>
      </c>
      <c r="E10" s="5">
        <f>SUM(LARGE(M10:S10,{1,2,3,4,5}))</f>
        <v>1145</v>
      </c>
      <c r="F10" s="5">
        <f>IFERROR(VLOOKUP(U14MMWruns[[#This Row],[Card]],results0124[],4,FALSE),999)</f>
        <v>13</v>
      </c>
      <c r="G10" s="5">
        <f>IFERROR(VLOOKUP(U14MMWruns[[#This Row],[Card]],results0124[],5,FALSE),999)</f>
        <v>999</v>
      </c>
      <c r="H10" s="5">
        <f>IFERROR(VLOOKUP(U14MMWruns[[#This Row],[Card]],results0140[],4,FALSE),999)</f>
        <v>999</v>
      </c>
      <c r="I10" s="5">
        <f>IFERROR(VLOOKUP(U14MMWruns[[#This Row],[Card]],results0140[],5,FALSE),999)</f>
        <v>3</v>
      </c>
      <c r="J10" s="5">
        <f>IFERROR(VLOOKUP(U14MMWruns[[#This Row],[Card]],results0125[],4,FALSE),999)</f>
        <v>1</v>
      </c>
      <c r="K10" s="5">
        <f>IFERROR(VLOOKUP(U14MMWruns[[#This Row],[Card]],results0125[],5,FALSE),999)</f>
        <v>7</v>
      </c>
      <c r="L10" s="5">
        <f>IFERROR(VLOOKUP(U14MMWruns[[#This Row],[Card]],results0122[],3,FALSE),999)</f>
        <v>18</v>
      </c>
      <c r="M10" s="5">
        <f>VLOOKUP(U14MMWruns[[#This Row],[pos1.0124]],pointstable[],2,FALSE)</f>
        <v>100</v>
      </c>
      <c r="N10" s="5">
        <f>VLOOKUP(U14MMWruns[[#This Row],[POS2.0124]],pointstable[],2,FALSE)</f>
        <v>0</v>
      </c>
      <c r="O10" s="5">
        <f>VLOOKUP(U14MMWruns[[#This Row],[pos1.0140]],pointstable[],2,FALSE)</f>
        <v>0</v>
      </c>
      <c r="P10" s="5">
        <f>VLOOKUP(U14MMWruns[[#This Row],[pos2.0140]],pointstable[],2,FALSE)</f>
        <v>300</v>
      </c>
      <c r="Q10" s="5">
        <f>VLOOKUP(U14MMWruns[[#This Row],[pos1.0125]],pointstable[],2,FALSE)</f>
        <v>500</v>
      </c>
      <c r="R10" s="5">
        <f>VLOOKUP(U14MMWruns[[#This Row],[pos2.025]],pointstable[],2,FALSE)</f>
        <v>180</v>
      </c>
      <c r="S10" s="5">
        <f>VLOOKUP(U14MMWruns[[#This Row],[pos0122]],pointstable[],2,FALSE)</f>
        <v>65</v>
      </c>
    </row>
    <row r="11" spans="1:19" ht="14.45" x14ac:dyDescent="0.3">
      <c r="A11">
        <v>80680</v>
      </c>
      <c r="B11" t="s">
        <v>28</v>
      </c>
      <c r="C11" t="s">
        <v>15</v>
      </c>
      <c r="D11">
        <v>4</v>
      </c>
      <c r="E11" s="5">
        <f>SUM(LARGE(M11:S11,{1,2,3,4,5}))</f>
        <v>1070</v>
      </c>
      <c r="F11" s="5">
        <f>IFERROR(VLOOKUP(U14MMWruns[[#This Row],[Card]],results0124[],4,FALSE),999)</f>
        <v>5</v>
      </c>
      <c r="G11" s="5">
        <f>IFERROR(VLOOKUP(U14MMWruns[[#This Row],[Card]],results0124[],5,FALSE),999)</f>
        <v>5</v>
      </c>
      <c r="H11" s="5">
        <f>IFERROR(VLOOKUP(U14MMWruns[[#This Row],[Card]],results0140[],4,FALSE),999)</f>
        <v>28</v>
      </c>
      <c r="I11" s="5">
        <f>IFERROR(VLOOKUP(U14MMWruns[[#This Row],[Card]],results0140[],5,FALSE),999)</f>
        <v>999</v>
      </c>
      <c r="J11" s="5">
        <f>IFERROR(VLOOKUP(U14MMWruns[[#This Row],[Card]],results0125[],4,FALSE),999)</f>
        <v>3</v>
      </c>
      <c r="K11" s="5">
        <f>IFERROR(VLOOKUP(U14MMWruns[[#This Row],[Card]],results0125[],5,FALSE),999)</f>
        <v>11</v>
      </c>
      <c r="L11" s="5">
        <f>IFERROR(VLOOKUP(U14MMWruns[[#This Row],[Card]],results0122[],3,FALSE),999)</f>
        <v>6</v>
      </c>
      <c r="M11" s="5">
        <f>VLOOKUP(U14MMWruns[[#This Row],[pos1.0124]],pointstable[],2,FALSE)</f>
        <v>225</v>
      </c>
      <c r="N11" s="5">
        <f>VLOOKUP(U14MMWruns[[#This Row],[POS2.0124]],pointstable[],2,FALSE)</f>
        <v>225</v>
      </c>
      <c r="O11" s="5">
        <f>VLOOKUP(U14MMWruns[[#This Row],[pos1.0140]],pointstable[],2,FALSE)</f>
        <v>32</v>
      </c>
      <c r="P11" s="5">
        <f>VLOOKUP(U14MMWruns[[#This Row],[pos2.0140]],pointstable[],2,FALSE)</f>
        <v>0</v>
      </c>
      <c r="Q11" s="5">
        <f>VLOOKUP(U14MMWruns[[#This Row],[pos1.0125]],pointstable[],2,FALSE)</f>
        <v>300</v>
      </c>
      <c r="R11" s="5">
        <f>VLOOKUP(U14MMWruns[[#This Row],[pos2.025]],pointstable[],2,FALSE)</f>
        <v>120</v>
      </c>
      <c r="S11" s="5">
        <f>VLOOKUP(U14MMWruns[[#This Row],[pos0122]],pointstable[],2,FALSE)</f>
        <v>200</v>
      </c>
    </row>
    <row r="12" spans="1:19" ht="14.45" x14ac:dyDescent="0.3">
      <c r="A12">
        <v>80709</v>
      </c>
      <c r="B12" t="s">
        <v>24</v>
      </c>
      <c r="C12" t="s">
        <v>22</v>
      </c>
      <c r="D12">
        <v>5</v>
      </c>
      <c r="E12" s="5">
        <f>SUM(LARGE(M12:S12,{1,2,3,4,5}))</f>
        <v>1024</v>
      </c>
      <c r="F12" s="5">
        <f>IFERROR(VLOOKUP(U14MMWruns[[#This Row],[Card]],results0124[],4,FALSE),999)</f>
        <v>27</v>
      </c>
      <c r="G12" s="5">
        <f>IFERROR(VLOOKUP(U14MMWruns[[#This Row],[Card]],results0124[],5,FALSE),999)</f>
        <v>7</v>
      </c>
      <c r="H12" s="5">
        <f>IFERROR(VLOOKUP(U14MMWruns[[#This Row],[Card]],results0140[],4,FALSE),999)</f>
        <v>41</v>
      </c>
      <c r="I12" s="5">
        <f>IFERROR(VLOOKUP(U14MMWruns[[#This Row],[Card]],results0140[],5,FALSE),999)</f>
        <v>999</v>
      </c>
      <c r="J12" s="5">
        <f>IFERROR(VLOOKUP(U14MMWruns[[#This Row],[Card]],results0125[],4,FALSE),999)</f>
        <v>2</v>
      </c>
      <c r="K12" s="5">
        <f>IFERROR(VLOOKUP(U14MMWruns[[#This Row],[Card]],results0125[],5,FALSE),999)</f>
        <v>8</v>
      </c>
      <c r="L12" s="5">
        <f>IFERROR(VLOOKUP(U14MMWruns[[#This Row],[Card]],results0122[],3,FALSE),999)</f>
        <v>4</v>
      </c>
      <c r="M12" s="5">
        <f>VLOOKUP(U14MMWruns[[#This Row],[pos1.0124]],pointstable[],2,FALSE)</f>
        <v>34</v>
      </c>
      <c r="N12" s="5">
        <f>VLOOKUP(U14MMWruns[[#This Row],[POS2.0124]],pointstable[],2,FALSE)</f>
        <v>180</v>
      </c>
      <c r="O12" s="5">
        <f>VLOOKUP(U14MMWruns[[#This Row],[pos1.0140]],pointstable[],2,FALSE)</f>
        <v>19</v>
      </c>
      <c r="P12" s="5">
        <f>VLOOKUP(U14MMWruns[[#This Row],[pos2.0140]],pointstable[],2,FALSE)</f>
        <v>0</v>
      </c>
      <c r="Q12" s="5">
        <f>VLOOKUP(U14MMWruns[[#This Row],[pos1.0125]],pointstable[],2,FALSE)</f>
        <v>400</v>
      </c>
      <c r="R12" s="5">
        <f>VLOOKUP(U14MMWruns[[#This Row],[pos2.025]],pointstable[],2,FALSE)</f>
        <v>160</v>
      </c>
      <c r="S12" s="5">
        <f>VLOOKUP(U14MMWruns[[#This Row],[pos0122]],pointstable[],2,FALSE)</f>
        <v>250</v>
      </c>
    </row>
    <row r="13" spans="1:19" ht="14.45" x14ac:dyDescent="0.3">
      <c r="A13">
        <v>78200</v>
      </c>
      <c r="B13" t="s">
        <v>49</v>
      </c>
      <c r="C13" t="s">
        <v>31</v>
      </c>
      <c r="D13">
        <v>5</v>
      </c>
      <c r="E13" s="5">
        <f>SUM(LARGE(M13:S13,{1,2,3,4,5}))</f>
        <v>970</v>
      </c>
      <c r="F13" s="5">
        <f>IFERROR(VLOOKUP(U14MMWruns[[#This Row],[Card]],results0124[],4,FALSE),999)</f>
        <v>4</v>
      </c>
      <c r="G13" s="5">
        <f>IFERROR(VLOOKUP(U14MMWruns[[#This Row],[Card]],results0124[],5,FALSE),999)</f>
        <v>999</v>
      </c>
      <c r="H13" s="5">
        <f>IFERROR(VLOOKUP(U14MMWruns[[#This Row],[Card]],results0140[],4,FALSE),999)</f>
        <v>999</v>
      </c>
      <c r="I13" s="5">
        <f>IFERROR(VLOOKUP(U14MMWruns[[#This Row],[Card]],results0140[],5,FALSE),999)</f>
        <v>2</v>
      </c>
      <c r="J13" s="5">
        <f>IFERROR(VLOOKUP(U14MMWruns[[#This Row],[Card]],results0125[],4,FALSE),999)</f>
        <v>10</v>
      </c>
      <c r="K13" s="5">
        <f>IFERROR(VLOOKUP(U14MMWruns[[#This Row],[Card]],results0125[],5,FALSE),999)</f>
        <v>12</v>
      </c>
      <c r="L13" s="5">
        <f>IFERROR(VLOOKUP(U14MMWruns[[#This Row],[Card]],results0122[],3,FALSE),999)</f>
        <v>15</v>
      </c>
      <c r="M13" s="5">
        <f>VLOOKUP(U14MMWruns[[#This Row],[pos1.0124]],pointstable[],2,FALSE)</f>
        <v>250</v>
      </c>
      <c r="N13" s="5">
        <f>VLOOKUP(U14MMWruns[[#This Row],[POS2.0124]],pointstable[],2,FALSE)</f>
        <v>0</v>
      </c>
      <c r="O13" s="5">
        <f>VLOOKUP(U14MMWruns[[#This Row],[pos1.0140]],pointstable[],2,FALSE)</f>
        <v>0</v>
      </c>
      <c r="P13" s="5">
        <f>VLOOKUP(U14MMWruns[[#This Row],[pos2.0140]],pointstable[],2,FALSE)</f>
        <v>400</v>
      </c>
      <c r="Q13" s="5">
        <f>VLOOKUP(U14MMWruns[[#This Row],[pos1.0125]],pointstable[],2,FALSE)</f>
        <v>130</v>
      </c>
      <c r="R13" s="5">
        <f>VLOOKUP(U14MMWruns[[#This Row],[pos2.025]],pointstable[],2,FALSE)</f>
        <v>110</v>
      </c>
      <c r="S13" s="5">
        <f>VLOOKUP(U14MMWruns[[#This Row],[pos0122]],pointstable[],2,FALSE)</f>
        <v>80</v>
      </c>
    </row>
    <row r="14" spans="1:19" ht="14.45" x14ac:dyDescent="0.3">
      <c r="A14">
        <v>80685</v>
      </c>
      <c r="B14" t="s">
        <v>74</v>
      </c>
      <c r="C14" t="s">
        <v>15</v>
      </c>
      <c r="D14">
        <v>4</v>
      </c>
      <c r="E14" s="5">
        <f>SUM(LARGE(M14:S14,{1,2,3,4,5}))</f>
        <v>858</v>
      </c>
      <c r="F14" s="5">
        <f>IFERROR(VLOOKUP(U14MMWruns[[#This Row],[Card]],results0124[],4,FALSE),999)</f>
        <v>999</v>
      </c>
      <c r="G14" s="5">
        <f>IFERROR(VLOOKUP(U14MMWruns[[#This Row],[Card]],results0124[],5,FALSE),999)</f>
        <v>999</v>
      </c>
      <c r="H14" s="5">
        <f>IFERROR(VLOOKUP(U14MMWruns[[#This Row],[Card]],results0140[],4,FALSE),999)</f>
        <v>1</v>
      </c>
      <c r="I14" s="5">
        <f>IFERROR(VLOOKUP(U14MMWruns[[#This Row],[Card]],results0140[],5,FALSE),999)</f>
        <v>6</v>
      </c>
      <c r="J14" s="5">
        <f>IFERROR(VLOOKUP(U14MMWruns[[#This Row],[Card]],results0125[],4,FALSE),999)</f>
        <v>27</v>
      </c>
      <c r="K14" s="5">
        <f>IFERROR(VLOOKUP(U14MMWruns[[#This Row],[Card]],results0125[],5,FALSE),999)</f>
        <v>14</v>
      </c>
      <c r="L14" s="5">
        <f>IFERROR(VLOOKUP(U14MMWruns[[#This Row],[Card]],results0122[],3,FALSE),999)</f>
        <v>27</v>
      </c>
      <c r="M14" s="5">
        <f>VLOOKUP(U14MMWruns[[#This Row],[pos1.0124]],pointstable[],2,FALSE)</f>
        <v>0</v>
      </c>
      <c r="N14" s="5">
        <f>VLOOKUP(U14MMWruns[[#This Row],[POS2.0124]],pointstable[],2,FALSE)</f>
        <v>0</v>
      </c>
      <c r="O14" s="5">
        <f>VLOOKUP(U14MMWruns[[#This Row],[pos1.0140]],pointstable[],2,FALSE)</f>
        <v>500</v>
      </c>
      <c r="P14" s="5">
        <f>VLOOKUP(U14MMWruns[[#This Row],[pos2.0140]],pointstable[],2,FALSE)</f>
        <v>200</v>
      </c>
      <c r="Q14" s="5">
        <f>VLOOKUP(U14MMWruns[[#This Row],[pos1.0125]],pointstable[],2,FALSE)</f>
        <v>34</v>
      </c>
      <c r="R14" s="5">
        <f>VLOOKUP(U14MMWruns[[#This Row],[pos2.025]],pointstable[],2,FALSE)</f>
        <v>90</v>
      </c>
      <c r="S14" s="5">
        <f>VLOOKUP(U14MMWruns[[#This Row],[pos0122]],pointstable[],2,FALSE)</f>
        <v>34</v>
      </c>
    </row>
    <row r="15" spans="1:19" ht="14.45" x14ac:dyDescent="0.3">
      <c r="A15">
        <v>80717</v>
      </c>
      <c r="B15" t="s">
        <v>26</v>
      </c>
      <c r="C15" t="s">
        <v>22</v>
      </c>
      <c r="D15">
        <v>4</v>
      </c>
      <c r="E15" s="5">
        <f>SUM(LARGE(M15:S15,{1,2,3,4,5}))</f>
        <v>785</v>
      </c>
      <c r="F15" s="5">
        <f>IFERROR(VLOOKUP(U14MMWruns[[#This Row],[Card]],results0124[],4,FALSE),999)</f>
        <v>8</v>
      </c>
      <c r="G15" s="5">
        <f>IFERROR(VLOOKUP(U14MMWruns[[#This Row],[Card]],results0124[],5,FALSE),999)</f>
        <v>12</v>
      </c>
      <c r="H15" s="5">
        <f>IFERROR(VLOOKUP(U14MMWruns[[#This Row],[Card]],results0140[],4,FALSE),999)</f>
        <v>999</v>
      </c>
      <c r="I15" s="5">
        <f>IFERROR(VLOOKUP(U14MMWruns[[#This Row],[Card]],results0140[],5,FALSE),999)</f>
        <v>9</v>
      </c>
      <c r="J15" s="5">
        <f>IFERROR(VLOOKUP(U14MMWruns[[#This Row],[Card]],results0125[],4,FALSE),999)</f>
        <v>19</v>
      </c>
      <c r="K15" s="5">
        <f>IFERROR(VLOOKUP(U14MMWruns[[#This Row],[Card]],results0125[],5,FALSE),999)</f>
        <v>9</v>
      </c>
      <c r="L15" s="5">
        <f>IFERROR(VLOOKUP(U14MMWruns[[#This Row],[Card]],results0122[],3,FALSE),999)</f>
        <v>5</v>
      </c>
      <c r="M15" s="5">
        <f>VLOOKUP(U14MMWruns[[#This Row],[pos1.0124]],pointstable[],2,FALSE)</f>
        <v>160</v>
      </c>
      <c r="N15" s="5">
        <f>VLOOKUP(U14MMWruns[[#This Row],[POS2.0124]],pointstable[],2,FALSE)</f>
        <v>110</v>
      </c>
      <c r="O15" s="5">
        <f>VLOOKUP(U14MMWruns[[#This Row],[pos1.0140]],pointstable[],2,FALSE)</f>
        <v>0</v>
      </c>
      <c r="P15" s="5">
        <f>VLOOKUP(U14MMWruns[[#This Row],[pos2.0140]],pointstable[],2,FALSE)</f>
        <v>145</v>
      </c>
      <c r="Q15" s="5">
        <f>VLOOKUP(U14MMWruns[[#This Row],[pos1.0125]],pointstable[],2,FALSE)</f>
        <v>60</v>
      </c>
      <c r="R15" s="5">
        <f>VLOOKUP(U14MMWruns[[#This Row],[pos2.025]],pointstable[],2,FALSE)</f>
        <v>145</v>
      </c>
      <c r="S15" s="5">
        <f>VLOOKUP(U14MMWruns[[#This Row],[pos0122]],pointstable[],2,FALSE)</f>
        <v>225</v>
      </c>
    </row>
    <row r="16" spans="1:19" ht="14.45" x14ac:dyDescent="0.3">
      <c r="A16">
        <v>85883</v>
      </c>
      <c r="B16" t="s">
        <v>51</v>
      </c>
      <c r="C16" t="s">
        <v>15</v>
      </c>
      <c r="D16">
        <v>4</v>
      </c>
      <c r="E16" s="5">
        <f>SUM(LARGE(M16:S16,{1,2,3,4,5}))</f>
        <v>685</v>
      </c>
      <c r="F16" s="5">
        <f>IFERROR(VLOOKUP(U14MMWruns[[#This Row],[Card]],results0124[],4,FALSE),999)</f>
        <v>25</v>
      </c>
      <c r="G16" s="5">
        <f>IFERROR(VLOOKUP(U14MMWruns[[#This Row],[Card]],results0124[],5,FALSE),999)</f>
        <v>8</v>
      </c>
      <c r="H16" s="5">
        <f>IFERROR(VLOOKUP(U14MMWruns[[#This Row],[Card]],results0140[],4,FALSE),999)</f>
        <v>16</v>
      </c>
      <c r="I16" s="5">
        <f>IFERROR(VLOOKUP(U14MMWruns[[#This Row],[Card]],results0140[],5,FALSE),999)</f>
        <v>53</v>
      </c>
      <c r="J16" s="5">
        <f>IFERROR(VLOOKUP(U14MMWruns[[#This Row],[Card]],results0125[],4,FALSE),999)</f>
        <v>16</v>
      </c>
      <c r="K16" s="5">
        <f>IFERROR(VLOOKUP(U14MMWruns[[#This Row],[Card]],results0125[],5,FALSE),999)</f>
        <v>3</v>
      </c>
      <c r="L16" s="5">
        <f>IFERROR(VLOOKUP(U14MMWruns[[#This Row],[Card]],results0122[],3,FALSE),999)</f>
        <v>16</v>
      </c>
      <c r="M16" s="5">
        <f>VLOOKUP(U14MMWruns[[#This Row],[pos1.0124]],pointstable[],2,FALSE)</f>
        <v>38</v>
      </c>
      <c r="N16" s="5">
        <f>VLOOKUP(U14MMWruns[[#This Row],[POS2.0124]],pointstable[],2,FALSE)</f>
        <v>160</v>
      </c>
      <c r="O16" s="5">
        <f>VLOOKUP(U14MMWruns[[#This Row],[pos1.0140]],pointstable[],2,FALSE)</f>
        <v>75</v>
      </c>
      <c r="P16" s="5">
        <f>VLOOKUP(U14MMWruns[[#This Row],[pos2.0140]],pointstable[],2,FALSE)</f>
        <v>7</v>
      </c>
      <c r="Q16" s="5">
        <f>VLOOKUP(U14MMWruns[[#This Row],[pos1.0125]],pointstable[],2,FALSE)</f>
        <v>75</v>
      </c>
      <c r="R16" s="5">
        <f>VLOOKUP(U14MMWruns[[#This Row],[pos2.025]],pointstable[],2,FALSE)</f>
        <v>300</v>
      </c>
      <c r="S16" s="5">
        <f>VLOOKUP(U14MMWruns[[#This Row],[pos0122]],pointstable[],2,FALSE)</f>
        <v>75</v>
      </c>
    </row>
    <row r="17" spans="1:19" ht="14.45" x14ac:dyDescent="0.3">
      <c r="A17">
        <v>75018</v>
      </c>
      <c r="B17" t="s">
        <v>60</v>
      </c>
      <c r="C17" t="s">
        <v>61</v>
      </c>
      <c r="D17">
        <v>4</v>
      </c>
      <c r="E17" s="5">
        <f>SUM(LARGE(M17:S17,{1,2,3,4,5}))</f>
        <v>672</v>
      </c>
      <c r="F17" s="5">
        <f>IFERROR(VLOOKUP(U14MMWruns[[#This Row],[Card]],results0124[],4,FALSE),999)</f>
        <v>22</v>
      </c>
      <c r="G17" s="5">
        <f>IFERROR(VLOOKUP(U14MMWruns[[#This Row],[Card]],results0124[],5,FALSE),999)</f>
        <v>24</v>
      </c>
      <c r="H17" s="5">
        <f>IFERROR(VLOOKUP(U14MMWruns[[#This Row],[Card]],results0140[],4,FALSE),999)</f>
        <v>4</v>
      </c>
      <c r="I17" s="5">
        <f>IFERROR(VLOOKUP(U14MMWruns[[#This Row],[Card]],results0140[],5,FALSE),999)</f>
        <v>4</v>
      </c>
      <c r="J17" s="5">
        <f>IFERROR(VLOOKUP(U14MMWruns[[#This Row],[Card]],results0125[],4,FALSE),999)</f>
        <v>17</v>
      </c>
      <c r="K17" s="5">
        <f>IFERROR(VLOOKUP(U14MMWruns[[#This Row],[Card]],results0125[],5,FALSE),999)</f>
        <v>23</v>
      </c>
      <c r="L17" s="5">
        <f>IFERROR(VLOOKUP(U14MMWruns[[#This Row],[Card]],results0122[],3,FALSE),999)</f>
        <v>20</v>
      </c>
      <c r="M17" s="5">
        <f>VLOOKUP(U14MMWruns[[#This Row],[pos1.0124]],pointstable[],2,FALSE)</f>
        <v>47</v>
      </c>
      <c r="N17" s="5">
        <f>VLOOKUP(U14MMWruns[[#This Row],[POS2.0124]],pointstable[],2,FALSE)</f>
        <v>41</v>
      </c>
      <c r="O17" s="5">
        <f>VLOOKUP(U14MMWruns[[#This Row],[pos1.0140]],pointstable[],2,FALSE)</f>
        <v>250</v>
      </c>
      <c r="P17" s="5">
        <f>VLOOKUP(U14MMWruns[[#This Row],[pos2.0140]],pointstable[],2,FALSE)</f>
        <v>250</v>
      </c>
      <c r="Q17" s="5">
        <f>VLOOKUP(U14MMWruns[[#This Row],[pos1.0125]],pointstable[],2,FALSE)</f>
        <v>70</v>
      </c>
      <c r="R17" s="5">
        <f>VLOOKUP(U14MMWruns[[#This Row],[pos2.025]],pointstable[],2,FALSE)</f>
        <v>44</v>
      </c>
      <c r="S17" s="5">
        <f>VLOOKUP(U14MMWruns[[#This Row],[pos0122]],pointstable[],2,FALSE)</f>
        <v>55</v>
      </c>
    </row>
    <row r="18" spans="1:19" ht="14.45" x14ac:dyDescent="0.3">
      <c r="A18">
        <v>80669</v>
      </c>
      <c r="B18" t="s">
        <v>70</v>
      </c>
      <c r="C18" t="s">
        <v>15</v>
      </c>
      <c r="D18">
        <v>4</v>
      </c>
      <c r="E18" s="5">
        <f>SUM(LARGE(M18:S18,{1,2,3,4,5}))</f>
        <v>637</v>
      </c>
      <c r="F18" s="5">
        <f>IFERROR(VLOOKUP(U14MMWruns[[#This Row],[Card]],results0124[],4,FALSE),999)</f>
        <v>14</v>
      </c>
      <c r="G18" s="5">
        <f>IFERROR(VLOOKUP(U14MMWruns[[#This Row],[Card]],results0124[],5,FALSE),999)</f>
        <v>17</v>
      </c>
      <c r="H18" s="5">
        <f>IFERROR(VLOOKUP(U14MMWruns[[#This Row],[Card]],results0140[],4,FALSE),999)</f>
        <v>3</v>
      </c>
      <c r="I18" s="5">
        <f>IFERROR(VLOOKUP(U14MMWruns[[#This Row],[Card]],results0140[],5,FALSE),999)</f>
        <v>22</v>
      </c>
      <c r="J18" s="5">
        <f>IFERROR(VLOOKUP(U14MMWruns[[#This Row],[Card]],results0125[],4,FALSE),999)</f>
        <v>999</v>
      </c>
      <c r="K18" s="5">
        <f>IFERROR(VLOOKUP(U14MMWruns[[#This Row],[Card]],results0125[],5,FALSE),999)</f>
        <v>10</v>
      </c>
      <c r="L18" s="5">
        <f>IFERROR(VLOOKUP(U14MMWruns[[#This Row],[Card]],results0122[],3,FALSE),999)</f>
        <v>25</v>
      </c>
      <c r="M18" s="5">
        <f>VLOOKUP(U14MMWruns[[#This Row],[pos1.0124]],pointstable[],2,FALSE)</f>
        <v>90</v>
      </c>
      <c r="N18" s="5">
        <f>VLOOKUP(U14MMWruns[[#This Row],[POS2.0124]],pointstable[],2,FALSE)</f>
        <v>70</v>
      </c>
      <c r="O18" s="5">
        <f>VLOOKUP(U14MMWruns[[#This Row],[pos1.0140]],pointstable[],2,FALSE)</f>
        <v>300</v>
      </c>
      <c r="P18" s="5">
        <f>VLOOKUP(U14MMWruns[[#This Row],[pos2.0140]],pointstable[],2,FALSE)</f>
        <v>47</v>
      </c>
      <c r="Q18" s="5">
        <f>VLOOKUP(U14MMWruns[[#This Row],[pos1.0125]],pointstable[],2,FALSE)</f>
        <v>0</v>
      </c>
      <c r="R18" s="5">
        <f>VLOOKUP(U14MMWruns[[#This Row],[pos2.025]],pointstable[],2,FALSE)</f>
        <v>130</v>
      </c>
      <c r="S18" s="5">
        <f>VLOOKUP(U14MMWruns[[#This Row],[pos0122]],pointstable[],2,FALSE)</f>
        <v>38</v>
      </c>
    </row>
    <row r="19" spans="1:19" ht="14.45" x14ac:dyDescent="0.3">
      <c r="A19">
        <v>84829</v>
      </c>
      <c r="B19" t="s">
        <v>68</v>
      </c>
      <c r="C19" t="s">
        <v>15</v>
      </c>
      <c r="D19">
        <v>5</v>
      </c>
      <c r="E19" s="5">
        <f>SUM(LARGE(M19:S19,{1,2,3,4,5}))</f>
        <v>620</v>
      </c>
      <c r="F19" s="5">
        <f>IFERROR(VLOOKUP(U14MMWruns[[#This Row],[Card]],results0124[],4,FALSE),999)</f>
        <v>10</v>
      </c>
      <c r="G19" s="5">
        <f>IFERROR(VLOOKUP(U14MMWruns[[#This Row],[Card]],results0124[],5,FALSE),999)</f>
        <v>18</v>
      </c>
      <c r="H19" s="5">
        <f>IFERROR(VLOOKUP(U14MMWruns[[#This Row],[Card]],results0140[],4,FALSE),999)</f>
        <v>7</v>
      </c>
      <c r="I19" s="5">
        <f>IFERROR(VLOOKUP(U14MMWruns[[#This Row],[Card]],results0140[],5,FALSE),999)</f>
        <v>10</v>
      </c>
      <c r="J19" s="5">
        <f>IFERROR(VLOOKUP(U14MMWruns[[#This Row],[Card]],results0125[],4,FALSE),999)</f>
        <v>15</v>
      </c>
      <c r="K19" s="5">
        <f>IFERROR(VLOOKUP(U14MMWruns[[#This Row],[Card]],results0125[],5,FALSE),999)</f>
        <v>13</v>
      </c>
      <c r="L19" s="5">
        <f>IFERROR(VLOOKUP(U14MMWruns[[#This Row],[Card]],results0122[],3,FALSE),999)</f>
        <v>24</v>
      </c>
      <c r="M19" s="5">
        <f>VLOOKUP(U14MMWruns[[#This Row],[pos1.0124]],pointstable[],2,FALSE)</f>
        <v>130</v>
      </c>
      <c r="N19" s="5">
        <f>VLOOKUP(U14MMWruns[[#This Row],[POS2.0124]],pointstable[],2,FALSE)</f>
        <v>65</v>
      </c>
      <c r="O19" s="5">
        <f>VLOOKUP(U14MMWruns[[#This Row],[pos1.0140]],pointstable[],2,FALSE)</f>
        <v>180</v>
      </c>
      <c r="P19" s="5">
        <f>VLOOKUP(U14MMWruns[[#This Row],[pos2.0140]],pointstable[],2,FALSE)</f>
        <v>130</v>
      </c>
      <c r="Q19" s="5">
        <f>VLOOKUP(U14MMWruns[[#This Row],[pos1.0125]],pointstable[],2,FALSE)</f>
        <v>80</v>
      </c>
      <c r="R19" s="5">
        <f>VLOOKUP(U14MMWruns[[#This Row],[pos2.025]],pointstable[],2,FALSE)</f>
        <v>100</v>
      </c>
      <c r="S19" s="5">
        <f>VLOOKUP(U14MMWruns[[#This Row],[pos0122]],pointstable[],2,FALSE)</f>
        <v>41</v>
      </c>
    </row>
    <row r="20" spans="1:19" ht="14.45" x14ac:dyDescent="0.3">
      <c r="A20">
        <v>80722</v>
      </c>
      <c r="B20" t="s">
        <v>33</v>
      </c>
      <c r="C20" t="s">
        <v>22</v>
      </c>
      <c r="D20">
        <v>4</v>
      </c>
      <c r="E20" s="5">
        <f>SUM(LARGE(M20:S20,{1,2,3,4,5}))</f>
        <v>610</v>
      </c>
      <c r="F20" s="5">
        <f>IFERROR(VLOOKUP(U14MMWruns[[#This Row],[Card]],results0124[],4,FALSE),999)</f>
        <v>17</v>
      </c>
      <c r="G20" s="5">
        <f>IFERROR(VLOOKUP(U14MMWruns[[#This Row],[Card]],results0124[],5,FALSE),999)</f>
        <v>999</v>
      </c>
      <c r="H20" s="5">
        <f>IFERROR(VLOOKUP(U14MMWruns[[#This Row],[Card]],results0140[],4,FALSE),999)</f>
        <v>9</v>
      </c>
      <c r="I20" s="5">
        <f>IFERROR(VLOOKUP(U14MMWruns[[#This Row],[Card]],results0140[],5,FALSE),999)</f>
        <v>8</v>
      </c>
      <c r="J20" s="5">
        <f>IFERROR(VLOOKUP(U14MMWruns[[#This Row],[Card]],results0125[],4,FALSE),999)</f>
        <v>21</v>
      </c>
      <c r="K20" s="5">
        <f>IFERROR(VLOOKUP(U14MMWruns[[#This Row],[Card]],results0125[],5,FALSE),999)</f>
        <v>16</v>
      </c>
      <c r="L20" s="5">
        <f>IFERROR(VLOOKUP(U14MMWruns[[#This Row],[Card]],results0122[],3,FALSE),999)</f>
        <v>8</v>
      </c>
      <c r="M20" s="5">
        <f>VLOOKUP(U14MMWruns[[#This Row],[pos1.0124]],pointstable[],2,FALSE)</f>
        <v>70</v>
      </c>
      <c r="N20" s="5">
        <f>VLOOKUP(U14MMWruns[[#This Row],[POS2.0124]],pointstable[],2,FALSE)</f>
        <v>0</v>
      </c>
      <c r="O20" s="5">
        <f>VLOOKUP(U14MMWruns[[#This Row],[pos1.0140]],pointstable[],2,FALSE)</f>
        <v>145</v>
      </c>
      <c r="P20" s="5">
        <f>VLOOKUP(U14MMWruns[[#This Row],[pos2.0140]],pointstable[],2,FALSE)</f>
        <v>160</v>
      </c>
      <c r="Q20" s="5">
        <f>VLOOKUP(U14MMWruns[[#This Row],[pos1.0125]],pointstable[],2,FALSE)</f>
        <v>51</v>
      </c>
      <c r="R20" s="5">
        <f>VLOOKUP(U14MMWruns[[#This Row],[pos2.025]],pointstable[],2,FALSE)</f>
        <v>75</v>
      </c>
      <c r="S20" s="5">
        <f>VLOOKUP(U14MMWruns[[#This Row],[pos0122]],pointstable[],2,FALSE)</f>
        <v>160</v>
      </c>
    </row>
    <row r="21" spans="1:19" ht="14.45" x14ac:dyDescent="0.3">
      <c r="A21">
        <v>80628</v>
      </c>
      <c r="B21" t="s">
        <v>58</v>
      </c>
      <c r="C21" t="s">
        <v>19</v>
      </c>
      <c r="D21">
        <v>4</v>
      </c>
      <c r="E21" s="5">
        <f>SUM(LARGE(M21:S21,{1,2,3,4,5}))</f>
        <v>540</v>
      </c>
      <c r="F21" s="5">
        <f>IFERROR(VLOOKUP(U14MMWruns[[#This Row],[Card]],results0124[],4,FALSE),999)</f>
        <v>20</v>
      </c>
      <c r="G21" s="5">
        <f>IFERROR(VLOOKUP(U14MMWruns[[#This Row],[Card]],results0124[],5,FALSE),999)</f>
        <v>13</v>
      </c>
      <c r="H21" s="5">
        <f>IFERROR(VLOOKUP(U14MMWruns[[#This Row],[Card]],results0140[],4,FALSE),999)</f>
        <v>13</v>
      </c>
      <c r="I21" s="5">
        <f>IFERROR(VLOOKUP(U14MMWruns[[#This Row],[Card]],results0140[],5,FALSE),999)</f>
        <v>5</v>
      </c>
      <c r="J21" s="5">
        <f>IFERROR(VLOOKUP(U14MMWruns[[#This Row],[Card]],results0125[],4,FALSE),999)</f>
        <v>30</v>
      </c>
      <c r="K21" s="5">
        <f>IFERROR(VLOOKUP(U14MMWruns[[#This Row],[Card]],results0125[],5,FALSE),999)</f>
        <v>999</v>
      </c>
      <c r="L21" s="5">
        <f>IFERROR(VLOOKUP(U14MMWruns[[#This Row],[Card]],results0122[],3,FALSE),999)</f>
        <v>19</v>
      </c>
      <c r="M21" s="5">
        <f>VLOOKUP(U14MMWruns[[#This Row],[pos1.0124]],pointstable[],2,FALSE)</f>
        <v>55</v>
      </c>
      <c r="N21" s="5">
        <f>VLOOKUP(U14MMWruns[[#This Row],[POS2.0124]],pointstable[],2,FALSE)</f>
        <v>100</v>
      </c>
      <c r="O21" s="5">
        <f>VLOOKUP(U14MMWruns[[#This Row],[pos1.0140]],pointstable[],2,FALSE)</f>
        <v>100</v>
      </c>
      <c r="P21" s="5">
        <f>VLOOKUP(U14MMWruns[[#This Row],[pos2.0140]],pointstable[],2,FALSE)</f>
        <v>225</v>
      </c>
      <c r="Q21" s="5">
        <f>VLOOKUP(U14MMWruns[[#This Row],[pos1.0125]],pointstable[],2,FALSE)</f>
        <v>30</v>
      </c>
      <c r="R21" s="5">
        <f>VLOOKUP(U14MMWruns[[#This Row],[pos2.025]],pointstable[],2,FALSE)</f>
        <v>0</v>
      </c>
      <c r="S21" s="5">
        <f>VLOOKUP(U14MMWruns[[#This Row],[pos0122]],pointstable[],2,FALSE)</f>
        <v>60</v>
      </c>
    </row>
    <row r="22" spans="1:19" ht="14.45" x14ac:dyDescent="0.3">
      <c r="A22">
        <v>80809</v>
      </c>
      <c r="B22" t="s">
        <v>53</v>
      </c>
      <c r="C22" t="s">
        <v>54</v>
      </c>
      <c r="D22">
        <v>4</v>
      </c>
      <c r="E22" s="5">
        <f>SUM(LARGE(M22:S22,{1,2,3,4,5}))</f>
        <v>444</v>
      </c>
      <c r="F22" s="5">
        <f>IFERROR(VLOOKUP(U14MMWruns[[#This Row],[Card]],results0124[],4,FALSE),999)</f>
        <v>23</v>
      </c>
      <c r="G22" s="5">
        <f>IFERROR(VLOOKUP(U14MMWruns[[#This Row],[Card]],results0124[],5,FALSE),999)</f>
        <v>15</v>
      </c>
      <c r="H22" s="5">
        <f>IFERROR(VLOOKUP(U14MMWruns[[#This Row],[Card]],results0140[],4,FALSE),999)</f>
        <v>999</v>
      </c>
      <c r="I22" s="5">
        <f>IFERROR(VLOOKUP(U14MMWruns[[#This Row],[Card]],results0140[],5,FALSE),999)</f>
        <v>17</v>
      </c>
      <c r="J22" s="5">
        <f>IFERROR(VLOOKUP(U14MMWruns[[#This Row],[Card]],results0125[],4,FALSE),999)</f>
        <v>7</v>
      </c>
      <c r="K22" s="5">
        <f>IFERROR(VLOOKUP(U14MMWruns[[#This Row],[Card]],results0125[],5,FALSE),999)</f>
        <v>999</v>
      </c>
      <c r="L22" s="5">
        <f>IFERROR(VLOOKUP(U14MMWruns[[#This Row],[Card]],results0122[],3,FALSE),999)</f>
        <v>17</v>
      </c>
      <c r="M22" s="5">
        <f>VLOOKUP(U14MMWruns[[#This Row],[pos1.0124]],pointstable[],2,FALSE)</f>
        <v>44</v>
      </c>
      <c r="N22" s="5">
        <f>VLOOKUP(U14MMWruns[[#This Row],[POS2.0124]],pointstable[],2,FALSE)</f>
        <v>80</v>
      </c>
      <c r="O22" s="5">
        <f>VLOOKUP(U14MMWruns[[#This Row],[pos1.0140]],pointstable[],2,FALSE)</f>
        <v>0</v>
      </c>
      <c r="P22" s="5">
        <f>VLOOKUP(U14MMWruns[[#This Row],[pos2.0140]],pointstable[],2,FALSE)</f>
        <v>70</v>
      </c>
      <c r="Q22" s="5">
        <f>VLOOKUP(U14MMWruns[[#This Row],[pos1.0125]],pointstable[],2,FALSE)</f>
        <v>180</v>
      </c>
      <c r="R22" s="5">
        <f>VLOOKUP(U14MMWruns[[#This Row],[pos2.025]],pointstable[],2,FALSE)</f>
        <v>0</v>
      </c>
      <c r="S22" s="5">
        <f>VLOOKUP(U14MMWruns[[#This Row],[pos0122]],pointstable[],2,FALSE)</f>
        <v>70</v>
      </c>
    </row>
    <row r="23" spans="1:19" ht="14.45" x14ac:dyDescent="0.3">
      <c r="A23">
        <v>81108</v>
      </c>
      <c r="B23" t="s">
        <v>44</v>
      </c>
      <c r="C23" t="s">
        <v>22</v>
      </c>
      <c r="D23">
        <v>5</v>
      </c>
      <c r="E23" s="5">
        <f>SUM(LARGE(M23:S23,{1,2,3,4,5}))</f>
        <v>438</v>
      </c>
      <c r="F23" s="5">
        <f>IFERROR(VLOOKUP(U14MMWruns[[#This Row],[Card]],results0124[],4,FALSE),999)</f>
        <v>999</v>
      </c>
      <c r="G23" s="5">
        <f>IFERROR(VLOOKUP(U14MMWruns[[#This Row],[Card]],results0124[],5,FALSE),999)</f>
        <v>33</v>
      </c>
      <c r="H23" s="5">
        <f>IFERROR(VLOOKUP(U14MMWruns[[#This Row],[Card]],results0140[],4,FALSE),999)</f>
        <v>8</v>
      </c>
      <c r="I23" s="5">
        <f>IFERROR(VLOOKUP(U14MMWruns[[#This Row],[Card]],results0140[],5,FALSE),999)</f>
        <v>999</v>
      </c>
      <c r="J23" s="5">
        <f>IFERROR(VLOOKUP(U14MMWruns[[#This Row],[Card]],results0125[],4,FALSE),999)</f>
        <v>12</v>
      </c>
      <c r="K23" s="5">
        <f>IFERROR(VLOOKUP(U14MMWruns[[#This Row],[Card]],results0125[],5,FALSE),999)</f>
        <v>24</v>
      </c>
      <c r="L23" s="5">
        <f>IFERROR(VLOOKUP(U14MMWruns[[#This Row],[Card]],results0122[],3,FALSE),999)</f>
        <v>13</v>
      </c>
      <c r="M23" s="5">
        <f>VLOOKUP(U14MMWruns[[#This Row],[pos1.0124]],pointstable[],2,FALSE)</f>
        <v>0</v>
      </c>
      <c r="N23" s="5">
        <f>VLOOKUP(U14MMWruns[[#This Row],[POS2.0124]],pointstable[],2,FALSE)</f>
        <v>27</v>
      </c>
      <c r="O23" s="5">
        <f>VLOOKUP(U14MMWruns[[#This Row],[pos1.0140]],pointstable[],2,FALSE)</f>
        <v>160</v>
      </c>
      <c r="P23" s="5">
        <f>VLOOKUP(U14MMWruns[[#This Row],[pos2.0140]],pointstable[],2,FALSE)</f>
        <v>0</v>
      </c>
      <c r="Q23" s="5">
        <f>VLOOKUP(U14MMWruns[[#This Row],[pos1.0125]],pointstable[],2,FALSE)</f>
        <v>110</v>
      </c>
      <c r="R23" s="5">
        <f>VLOOKUP(U14MMWruns[[#This Row],[pos2.025]],pointstable[],2,FALSE)</f>
        <v>41</v>
      </c>
      <c r="S23" s="5">
        <f>VLOOKUP(U14MMWruns[[#This Row],[pos0122]],pointstable[],2,FALSE)</f>
        <v>100</v>
      </c>
    </row>
    <row r="24" spans="1:19" ht="14.45" x14ac:dyDescent="0.3">
      <c r="A24">
        <v>80625</v>
      </c>
      <c r="B24" t="s">
        <v>76</v>
      </c>
      <c r="C24" t="s">
        <v>19</v>
      </c>
      <c r="D24">
        <v>4</v>
      </c>
      <c r="E24" s="5">
        <f>SUM(LARGE(M24:S24,{1,2,3,4,5}))</f>
        <v>426</v>
      </c>
      <c r="F24" s="5">
        <f>IFERROR(VLOOKUP(U14MMWruns[[#This Row],[Card]],results0124[],4,FALSE),999)</f>
        <v>14</v>
      </c>
      <c r="G24" s="5">
        <f>IFERROR(VLOOKUP(U14MMWruns[[#This Row],[Card]],results0124[],5,FALSE),999)</f>
        <v>999</v>
      </c>
      <c r="H24" s="5">
        <f>IFERROR(VLOOKUP(U14MMWruns[[#This Row],[Card]],results0140[],4,FALSE),999)</f>
        <v>6</v>
      </c>
      <c r="I24" s="5">
        <f>IFERROR(VLOOKUP(U14MMWruns[[#This Row],[Card]],results0140[],5,FALSE),999)</f>
        <v>999</v>
      </c>
      <c r="J24" s="5">
        <f>IFERROR(VLOOKUP(U14MMWruns[[#This Row],[Card]],results0125[],4,FALSE),999)</f>
        <v>23</v>
      </c>
      <c r="K24" s="5">
        <f>IFERROR(VLOOKUP(U14MMWruns[[#This Row],[Card]],results0125[],5,FALSE),999)</f>
        <v>19</v>
      </c>
      <c r="L24" s="5">
        <f>IFERROR(VLOOKUP(U14MMWruns[[#This Row],[Card]],results0122[],3,FALSE),999)</f>
        <v>28</v>
      </c>
      <c r="M24" s="5">
        <f>VLOOKUP(U14MMWruns[[#This Row],[pos1.0124]],pointstable[],2,FALSE)</f>
        <v>90</v>
      </c>
      <c r="N24" s="5">
        <f>VLOOKUP(U14MMWruns[[#This Row],[POS2.0124]],pointstable[],2,FALSE)</f>
        <v>0</v>
      </c>
      <c r="O24" s="5">
        <f>VLOOKUP(U14MMWruns[[#This Row],[pos1.0140]],pointstable[],2,FALSE)</f>
        <v>200</v>
      </c>
      <c r="P24" s="5">
        <f>VLOOKUP(U14MMWruns[[#This Row],[pos2.0140]],pointstable[],2,FALSE)</f>
        <v>0</v>
      </c>
      <c r="Q24" s="5">
        <f>VLOOKUP(U14MMWruns[[#This Row],[pos1.0125]],pointstable[],2,FALSE)</f>
        <v>44</v>
      </c>
      <c r="R24" s="5">
        <f>VLOOKUP(U14MMWruns[[#This Row],[pos2.025]],pointstable[],2,FALSE)</f>
        <v>60</v>
      </c>
      <c r="S24" s="5">
        <f>VLOOKUP(U14MMWruns[[#This Row],[pos0122]],pointstable[],2,FALSE)</f>
        <v>32</v>
      </c>
    </row>
    <row r="25" spans="1:19" ht="14.45" x14ac:dyDescent="0.3">
      <c r="A25">
        <v>80715</v>
      </c>
      <c r="B25" t="s">
        <v>65</v>
      </c>
      <c r="C25" t="s">
        <v>22</v>
      </c>
      <c r="D25">
        <v>4</v>
      </c>
      <c r="E25" s="5">
        <f>SUM(LARGE(M25:S25,{1,2,3,4,5}))</f>
        <v>366</v>
      </c>
      <c r="F25" s="5">
        <f>IFERROR(VLOOKUP(U14MMWruns[[#This Row],[Card]],results0124[],4,FALSE),999)</f>
        <v>37</v>
      </c>
      <c r="G25" s="5">
        <f>IFERROR(VLOOKUP(U14MMWruns[[#This Row],[Card]],results0124[],5,FALSE),999)</f>
        <v>27</v>
      </c>
      <c r="H25" s="5">
        <f>IFERROR(VLOOKUP(U14MMWruns[[#This Row],[Card]],results0140[],4,FALSE),999)</f>
        <v>10</v>
      </c>
      <c r="I25" s="5">
        <f>IFERROR(VLOOKUP(U14MMWruns[[#This Row],[Card]],results0140[],5,FALSE),999)</f>
        <v>999</v>
      </c>
      <c r="J25" s="5">
        <f>IFERROR(VLOOKUP(U14MMWruns[[#This Row],[Card]],results0125[],4,FALSE),999)</f>
        <v>14</v>
      </c>
      <c r="K25" s="5">
        <f>IFERROR(VLOOKUP(U14MMWruns[[#This Row],[Card]],results0125[],5,FALSE),999)</f>
        <v>18</v>
      </c>
      <c r="L25" s="5">
        <f>IFERROR(VLOOKUP(U14MMWruns[[#This Row],[Card]],results0122[],3,FALSE),999)</f>
        <v>22</v>
      </c>
      <c r="M25" s="5">
        <f>VLOOKUP(U14MMWruns[[#This Row],[pos1.0124]],pointstable[],2,FALSE)</f>
        <v>23</v>
      </c>
      <c r="N25" s="5">
        <f>VLOOKUP(U14MMWruns[[#This Row],[POS2.0124]],pointstable[],2,FALSE)</f>
        <v>34</v>
      </c>
      <c r="O25" s="5">
        <f>VLOOKUP(U14MMWruns[[#This Row],[pos1.0140]],pointstable[],2,FALSE)</f>
        <v>130</v>
      </c>
      <c r="P25" s="5">
        <f>VLOOKUP(U14MMWruns[[#This Row],[pos2.0140]],pointstable[],2,FALSE)</f>
        <v>0</v>
      </c>
      <c r="Q25" s="5">
        <f>VLOOKUP(U14MMWruns[[#This Row],[pos1.0125]],pointstable[],2,FALSE)</f>
        <v>90</v>
      </c>
      <c r="R25" s="5">
        <f>VLOOKUP(U14MMWruns[[#This Row],[pos2.025]],pointstable[],2,FALSE)</f>
        <v>65</v>
      </c>
      <c r="S25" s="5">
        <f>VLOOKUP(U14MMWruns[[#This Row],[pos0122]],pointstable[],2,FALSE)</f>
        <v>47</v>
      </c>
    </row>
    <row r="26" spans="1:19" ht="14.45" x14ac:dyDescent="0.3">
      <c r="A26">
        <v>80683</v>
      </c>
      <c r="B26" t="s">
        <v>67</v>
      </c>
      <c r="C26" t="s">
        <v>15</v>
      </c>
      <c r="D26">
        <v>4</v>
      </c>
      <c r="E26" s="5">
        <f>SUM(LARGE(M26:S26,{1,2,3,4,5}))</f>
        <v>363</v>
      </c>
      <c r="F26" s="5">
        <f>IFERROR(VLOOKUP(U14MMWruns[[#This Row],[Card]],results0124[],4,FALSE),999)</f>
        <v>9</v>
      </c>
      <c r="G26" s="5">
        <f>IFERROR(VLOOKUP(U14MMWruns[[#This Row],[Card]],results0124[],5,FALSE),999)</f>
        <v>10</v>
      </c>
      <c r="H26" s="5">
        <f>IFERROR(VLOOKUP(U14MMWruns[[#This Row],[Card]],results0140[],4,FALSE),999)</f>
        <v>999</v>
      </c>
      <c r="I26" s="5">
        <f>IFERROR(VLOOKUP(U14MMWruns[[#This Row],[Card]],results0140[],5,FALSE),999)</f>
        <v>51</v>
      </c>
      <c r="J26" s="5">
        <f>IFERROR(VLOOKUP(U14MMWruns[[#This Row],[Card]],results0125[],4,FALSE),999)</f>
        <v>999</v>
      </c>
      <c r="K26" s="5">
        <f>IFERROR(VLOOKUP(U14MMWruns[[#This Row],[Card]],results0125[],5,FALSE),999)</f>
        <v>28</v>
      </c>
      <c r="L26" s="5">
        <f>IFERROR(VLOOKUP(U14MMWruns[[#This Row],[Card]],results0122[],3,FALSE),999)</f>
        <v>22</v>
      </c>
      <c r="M26" s="5">
        <f>VLOOKUP(U14MMWruns[[#This Row],[pos1.0124]],pointstable[],2,FALSE)</f>
        <v>145</v>
      </c>
      <c r="N26" s="5">
        <f>VLOOKUP(U14MMWruns[[#This Row],[POS2.0124]],pointstable[],2,FALSE)</f>
        <v>130</v>
      </c>
      <c r="O26" s="5">
        <f>VLOOKUP(U14MMWruns[[#This Row],[pos1.0140]],pointstable[],2,FALSE)</f>
        <v>0</v>
      </c>
      <c r="P26" s="5">
        <f>VLOOKUP(U14MMWruns[[#This Row],[pos2.0140]],pointstable[],2,FALSE)</f>
        <v>9</v>
      </c>
      <c r="Q26" s="5">
        <f>VLOOKUP(U14MMWruns[[#This Row],[pos1.0125]],pointstable[],2,FALSE)</f>
        <v>0</v>
      </c>
      <c r="R26" s="5">
        <f>VLOOKUP(U14MMWruns[[#This Row],[pos2.025]],pointstable[],2,FALSE)</f>
        <v>32</v>
      </c>
      <c r="S26" s="5">
        <f>VLOOKUP(U14MMWruns[[#This Row],[pos0122]],pointstable[],2,FALSE)</f>
        <v>47</v>
      </c>
    </row>
    <row r="27" spans="1:19" ht="14.45" x14ac:dyDescent="0.3">
      <c r="A27">
        <v>80729</v>
      </c>
      <c r="B27" t="s">
        <v>90</v>
      </c>
      <c r="C27" t="s">
        <v>22</v>
      </c>
      <c r="D27">
        <v>4</v>
      </c>
      <c r="E27" s="5">
        <f>SUM(LARGE(M27:S27,{1,2,3,4,5}))</f>
        <v>329</v>
      </c>
      <c r="F27" s="5">
        <f>IFERROR(VLOOKUP(U14MMWruns[[#This Row],[Card]],results0124[],4,FALSE),999)</f>
        <v>32</v>
      </c>
      <c r="G27" s="5">
        <f>IFERROR(VLOOKUP(U14MMWruns[[#This Row],[Card]],results0124[],5,FALSE),999)</f>
        <v>29</v>
      </c>
      <c r="H27" s="5">
        <f>IFERROR(VLOOKUP(U14MMWruns[[#This Row],[Card]],results0140[],4,FALSE),999)</f>
        <v>11</v>
      </c>
      <c r="I27" s="5">
        <f>IFERROR(VLOOKUP(U14MMWruns[[#This Row],[Card]],results0140[],5,FALSE),999)</f>
        <v>999</v>
      </c>
      <c r="J27" s="5">
        <f>IFERROR(VLOOKUP(U14MMWruns[[#This Row],[Card]],results0125[],4,FALSE),999)</f>
        <v>11</v>
      </c>
      <c r="K27" s="5">
        <f>IFERROR(VLOOKUP(U14MMWruns[[#This Row],[Card]],results0125[],5,FALSE),999)</f>
        <v>30</v>
      </c>
      <c r="L27" s="5">
        <f>IFERROR(VLOOKUP(U14MMWruns[[#This Row],[Card]],results0122[],3,FALSE),999)</f>
        <v>35</v>
      </c>
      <c r="M27" s="5">
        <f>VLOOKUP(U14MMWruns[[#This Row],[pos1.0124]],pointstable[],2,FALSE)</f>
        <v>28</v>
      </c>
      <c r="N27" s="5">
        <f>VLOOKUP(U14MMWruns[[#This Row],[POS2.0124]],pointstable[],2,FALSE)</f>
        <v>31</v>
      </c>
      <c r="O27" s="5">
        <f>VLOOKUP(U14MMWruns[[#This Row],[pos1.0140]],pointstable[],2,FALSE)</f>
        <v>120</v>
      </c>
      <c r="P27" s="5">
        <f>VLOOKUP(U14MMWruns[[#This Row],[pos2.0140]],pointstable[],2,FALSE)</f>
        <v>0</v>
      </c>
      <c r="Q27" s="5">
        <f>VLOOKUP(U14MMWruns[[#This Row],[pos1.0125]],pointstable[],2,FALSE)</f>
        <v>120</v>
      </c>
      <c r="R27" s="5">
        <f>VLOOKUP(U14MMWruns[[#This Row],[pos2.025]],pointstable[],2,FALSE)</f>
        <v>30</v>
      </c>
      <c r="S27" s="5">
        <f>VLOOKUP(U14MMWruns[[#This Row],[pos0122]],pointstable[],2,FALSE)</f>
        <v>25</v>
      </c>
    </row>
    <row r="28" spans="1:19" x14ac:dyDescent="0.25">
      <c r="A28">
        <v>82314</v>
      </c>
      <c r="B28" t="s">
        <v>78</v>
      </c>
      <c r="C28" t="s">
        <v>15</v>
      </c>
      <c r="D28">
        <v>4</v>
      </c>
      <c r="E28" s="5">
        <f>SUM(LARGE(M28:S28,{1,2,3,4,5}))</f>
        <v>327</v>
      </c>
      <c r="F28" s="5">
        <f>IFERROR(VLOOKUP(U14MMWruns[[#This Row],[Card]],results0124[],4,FALSE),999)</f>
        <v>21</v>
      </c>
      <c r="G28" s="5">
        <f>IFERROR(VLOOKUP(U14MMWruns[[#This Row],[Card]],results0124[],5,FALSE),999)</f>
        <v>16</v>
      </c>
      <c r="H28" s="5">
        <f>IFERROR(VLOOKUP(U14MMWruns[[#This Row],[Card]],results0140[],4,FALSE),999)</f>
        <v>999</v>
      </c>
      <c r="I28" s="5">
        <f>IFERROR(VLOOKUP(U14MMWruns[[#This Row],[Card]],results0140[],5,FALSE),999)</f>
        <v>999</v>
      </c>
      <c r="J28" s="5">
        <f>IFERROR(VLOOKUP(U14MMWruns[[#This Row],[Card]],results0125[],4,FALSE),999)</f>
        <v>12</v>
      </c>
      <c r="K28" s="5">
        <f>IFERROR(VLOOKUP(U14MMWruns[[#This Row],[Card]],results0125[],5,FALSE),999)</f>
        <v>19</v>
      </c>
      <c r="L28" s="5">
        <f>IFERROR(VLOOKUP(U14MMWruns[[#This Row],[Card]],results0122[],3,FALSE),999)</f>
        <v>29</v>
      </c>
      <c r="M28" s="5">
        <f>VLOOKUP(U14MMWruns[[#This Row],[pos1.0124]],pointstable[],2,FALSE)</f>
        <v>51</v>
      </c>
      <c r="N28" s="5">
        <f>VLOOKUP(U14MMWruns[[#This Row],[POS2.0124]],pointstable[],2,FALSE)</f>
        <v>75</v>
      </c>
      <c r="O28" s="5">
        <f>VLOOKUP(U14MMWruns[[#This Row],[pos1.0140]],pointstable[],2,FALSE)</f>
        <v>0</v>
      </c>
      <c r="P28" s="5">
        <f>VLOOKUP(U14MMWruns[[#This Row],[pos2.0140]],pointstable[],2,FALSE)</f>
        <v>0</v>
      </c>
      <c r="Q28" s="5">
        <f>VLOOKUP(U14MMWruns[[#This Row],[pos1.0125]],pointstable[],2,FALSE)</f>
        <v>110</v>
      </c>
      <c r="R28" s="5">
        <f>VLOOKUP(U14MMWruns[[#This Row],[pos2.025]],pointstable[],2,FALSE)</f>
        <v>60</v>
      </c>
      <c r="S28" s="5">
        <f>VLOOKUP(U14MMWruns[[#This Row],[pos0122]],pointstable[],2,FALSE)</f>
        <v>31</v>
      </c>
    </row>
    <row r="29" spans="1:19" x14ac:dyDescent="0.25">
      <c r="A29">
        <v>80720</v>
      </c>
      <c r="B29" t="s">
        <v>98</v>
      </c>
      <c r="C29" t="s">
        <v>22</v>
      </c>
      <c r="D29">
        <v>5</v>
      </c>
      <c r="E29" s="5">
        <f>SUM(LARGE(M29:S29,{1,2,3,4,5}))</f>
        <v>325</v>
      </c>
      <c r="F29" s="5">
        <f>IFERROR(VLOOKUP(U14MMWruns[[#This Row],[Card]],results0124[],4,FALSE),999)</f>
        <v>36</v>
      </c>
      <c r="G29" s="5">
        <f>IFERROR(VLOOKUP(U14MMWruns[[#This Row],[Card]],results0124[],5,FALSE),999)</f>
        <v>28</v>
      </c>
      <c r="H29" s="5">
        <f>IFERROR(VLOOKUP(U14MMWruns[[#This Row],[Card]],results0140[],4,FALSE),999)</f>
        <v>5</v>
      </c>
      <c r="I29" s="5">
        <f>IFERROR(VLOOKUP(U14MMWruns[[#This Row],[Card]],results0140[],5,FALSE),999)</f>
        <v>999</v>
      </c>
      <c r="J29" s="5">
        <f>IFERROR(VLOOKUP(U14MMWruns[[#This Row],[Card]],results0125[],4,FALSE),999)</f>
        <v>101</v>
      </c>
      <c r="K29" s="5">
        <f>IFERROR(VLOOKUP(U14MMWruns[[#This Row],[Card]],results0125[],5,FALSE),999)</f>
        <v>37</v>
      </c>
      <c r="L29" s="5">
        <f>IFERROR(VLOOKUP(U14MMWruns[[#This Row],[Card]],results0122[],3,FALSE),999)</f>
        <v>39</v>
      </c>
      <c r="M29" s="5">
        <f>VLOOKUP(U14MMWruns[[#This Row],[pos1.0124]],pointstable[],2,FALSE)</f>
        <v>24</v>
      </c>
      <c r="N29" s="5">
        <f>VLOOKUP(U14MMWruns[[#This Row],[POS2.0124]],pointstable[],2,FALSE)</f>
        <v>32</v>
      </c>
      <c r="O29" s="5">
        <f>VLOOKUP(U14MMWruns[[#This Row],[pos1.0140]],pointstable[],2,FALSE)</f>
        <v>225</v>
      </c>
      <c r="P29" s="5">
        <f>VLOOKUP(U14MMWruns[[#This Row],[pos2.0140]],pointstable[],2,FALSE)</f>
        <v>0</v>
      </c>
      <c r="Q29" s="5">
        <f>VLOOKUP(U14MMWruns[[#This Row],[pos1.0125]],pointstable[],2,FALSE)</f>
        <v>0</v>
      </c>
      <c r="R29" s="5">
        <f>VLOOKUP(U14MMWruns[[#This Row],[pos2.025]],pointstable[],2,FALSE)</f>
        <v>23</v>
      </c>
      <c r="S29" s="5">
        <f>VLOOKUP(U14MMWruns[[#This Row],[pos0122]],pointstable[],2,FALSE)</f>
        <v>21</v>
      </c>
    </row>
    <row r="30" spans="1:19" x14ac:dyDescent="0.25">
      <c r="A30">
        <v>82431</v>
      </c>
      <c r="B30" t="s">
        <v>41</v>
      </c>
      <c r="C30" t="s">
        <v>42</v>
      </c>
      <c r="D30">
        <v>4</v>
      </c>
      <c r="E30" s="5">
        <f>SUM(LARGE(M30:S30,{1,2,3,4,5}))</f>
        <v>318</v>
      </c>
      <c r="F30" s="5">
        <f>IFERROR(VLOOKUP(U14MMWruns[[#This Row],[Card]],results0124[],4,FALSE),999)</f>
        <v>11</v>
      </c>
      <c r="G30" s="5">
        <f>IFERROR(VLOOKUP(U14MMWruns[[#This Row],[Card]],results0124[],5,FALSE),999)</f>
        <v>999</v>
      </c>
      <c r="H30" s="5">
        <f>IFERROR(VLOOKUP(U14MMWruns[[#This Row],[Card]],results0140[],4,FALSE),999)</f>
        <v>999</v>
      </c>
      <c r="I30" s="5">
        <f>IFERROR(VLOOKUP(U14MMWruns[[#This Row],[Card]],results0140[],5,FALSE),999)</f>
        <v>59</v>
      </c>
      <c r="J30" s="5">
        <f>IFERROR(VLOOKUP(U14MMWruns[[#This Row],[Card]],results0125[],4,FALSE),999)</f>
        <v>17</v>
      </c>
      <c r="K30" s="5">
        <f>IFERROR(VLOOKUP(U14MMWruns[[#This Row],[Card]],results0125[],5,FALSE),999)</f>
        <v>43</v>
      </c>
      <c r="L30" s="5">
        <f>IFERROR(VLOOKUP(U14MMWruns[[#This Row],[Card]],results0122[],3,FALSE),999)</f>
        <v>12</v>
      </c>
      <c r="M30" s="5">
        <f>VLOOKUP(U14MMWruns[[#This Row],[pos1.0124]],pointstable[],2,FALSE)</f>
        <v>120</v>
      </c>
      <c r="N30" s="5">
        <f>VLOOKUP(U14MMWruns[[#This Row],[POS2.0124]],pointstable[],2,FALSE)</f>
        <v>0</v>
      </c>
      <c r="O30" s="5">
        <f>VLOOKUP(U14MMWruns[[#This Row],[pos1.0140]],pointstable[],2,FALSE)</f>
        <v>0</v>
      </c>
      <c r="P30" s="5">
        <f>VLOOKUP(U14MMWruns[[#This Row],[pos2.0140]],pointstable[],2,FALSE)</f>
        <v>1</v>
      </c>
      <c r="Q30" s="5">
        <f>VLOOKUP(U14MMWruns[[#This Row],[pos1.0125]],pointstable[],2,FALSE)</f>
        <v>70</v>
      </c>
      <c r="R30" s="5">
        <f>VLOOKUP(U14MMWruns[[#This Row],[pos2.025]],pointstable[],2,FALSE)</f>
        <v>17</v>
      </c>
      <c r="S30" s="5">
        <f>VLOOKUP(U14MMWruns[[#This Row],[pos0122]],pointstable[],2,FALSE)</f>
        <v>110</v>
      </c>
    </row>
    <row r="31" spans="1:19" x14ac:dyDescent="0.25">
      <c r="A31">
        <v>81110</v>
      </c>
      <c r="B31" t="s">
        <v>86</v>
      </c>
      <c r="C31" t="s">
        <v>22</v>
      </c>
      <c r="D31">
        <v>5</v>
      </c>
      <c r="E31" s="5">
        <f>SUM(LARGE(M31:S31,{1,2,3,4,5}))</f>
        <v>282</v>
      </c>
      <c r="F31" s="5">
        <f>IFERROR(VLOOKUP(U14MMWruns[[#This Row],[Card]],results0124[],4,FALSE),999)</f>
        <v>44</v>
      </c>
      <c r="G31" s="5">
        <f>IFERROR(VLOOKUP(U14MMWruns[[#This Row],[Card]],results0124[],5,FALSE),999)</f>
        <v>30</v>
      </c>
      <c r="H31" s="5">
        <f>IFERROR(VLOOKUP(U14MMWruns[[#This Row],[Card]],results0140[],4,FALSE),999)</f>
        <v>999</v>
      </c>
      <c r="I31" s="5">
        <f>IFERROR(VLOOKUP(U14MMWruns[[#This Row],[Card]],results0140[],5,FALSE),999)</f>
        <v>14</v>
      </c>
      <c r="J31" s="5">
        <f>IFERROR(VLOOKUP(U14MMWruns[[#This Row],[Card]],results0125[],4,FALSE),999)</f>
        <v>20</v>
      </c>
      <c r="K31" s="5">
        <f>IFERROR(VLOOKUP(U14MMWruns[[#This Row],[Card]],results0125[],5,FALSE),999)</f>
        <v>15</v>
      </c>
      <c r="L31" s="5">
        <f>IFERROR(VLOOKUP(U14MMWruns[[#This Row],[Card]],results0122[],3,FALSE),999)</f>
        <v>33</v>
      </c>
      <c r="M31" s="5">
        <f>VLOOKUP(U14MMWruns[[#This Row],[pos1.0124]],pointstable[],2,FALSE)</f>
        <v>16</v>
      </c>
      <c r="N31" s="5">
        <f>VLOOKUP(U14MMWruns[[#This Row],[POS2.0124]],pointstable[],2,FALSE)</f>
        <v>30</v>
      </c>
      <c r="O31" s="5">
        <f>VLOOKUP(U14MMWruns[[#This Row],[pos1.0140]],pointstable[],2,FALSE)</f>
        <v>0</v>
      </c>
      <c r="P31" s="5">
        <f>VLOOKUP(U14MMWruns[[#This Row],[pos2.0140]],pointstable[],2,FALSE)</f>
        <v>90</v>
      </c>
      <c r="Q31" s="5">
        <f>VLOOKUP(U14MMWruns[[#This Row],[pos1.0125]],pointstable[],2,FALSE)</f>
        <v>55</v>
      </c>
      <c r="R31" s="5">
        <f>VLOOKUP(U14MMWruns[[#This Row],[pos2.025]],pointstable[],2,FALSE)</f>
        <v>80</v>
      </c>
      <c r="S31" s="5">
        <f>VLOOKUP(U14MMWruns[[#This Row],[pos0122]],pointstable[],2,FALSE)</f>
        <v>27</v>
      </c>
    </row>
    <row r="32" spans="1:19" x14ac:dyDescent="0.25">
      <c r="A32">
        <v>76653</v>
      </c>
      <c r="B32" t="s">
        <v>37</v>
      </c>
      <c r="C32" t="s">
        <v>38</v>
      </c>
      <c r="D32">
        <v>4</v>
      </c>
      <c r="E32" s="5">
        <f>SUM(LARGE(M32:S32,{1,2,3,4,5}))</f>
        <v>276</v>
      </c>
      <c r="F32" s="5">
        <f>IFERROR(VLOOKUP(U14MMWruns[[#This Row],[Card]],results0124[],4,FALSE),999)</f>
        <v>999</v>
      </c>
      <c r="G32" s="5">
        <f>IFERROR(VLOOKUP(U14MMWruns[[#This Row],[Card]],results0124[],5,FALSE),999)</f>
        <v>59</v>
      </c>
      <c r="H32" s="5">
        <f>IFERROR(VLOOKUP(U14MMWruns[[#This Row],[Card]],results0140[],4,FALSE),999)</f>
        <v>19</v>
      </c>
      <c r="I32" s="5">
        <f>IFERROR(VLOOKUP(U14MMWruns[[#This Row],[Card]],results0140[],5,FALSE),999)</f>
        <v>999</v>
      </c>
      <c r="J32" s="5">
        <f>IFERROR(VLOOKUP(U14MMWruns[[#This Row],[Card]],results0125[],4,FALSE),999)</f>
        <v>25</v>
      </c>
      <c r="K32" s="5">
        <f>IFERROR(VLOOKUP(U14MMWruns[[#This Row],[Card]],results0125[],5,FALSE),999)</f>
        <v>22</v>
      </c>
      <c r="L32" s="5">
        <f>IFERROR(VLOOKUP(U14MMWruns[[#This Row],[Card]],results0122[],3,FALSE),999)</f>
        <v>10</v>
      </c>
      <c r="M32" s="5">
        <f>VLOOKUP(U14MMWruns[[#This Row],[pos1.0124]],pointstable[],2,FALSE)</f>
        <v>0</v>
      </c>
      <c r="N32" s="5">
        <f>VLOOKUP(U14MMWruns[[#This Row],[POS2.0124]],pointstable[],2,FALSE)</f>
        <v>1</v>
      </c>
      <c r="O32" s="5">
        <f>VLOOKUP(U14MMWruns[[#This Row],[pos1.0140]],pointstable[],2,FALSE)</f>
        <v>60</v>
      </c>
      <c r="P32" s="5">
        <f>VLOOKUP(U14MMWruns[[#This Row],[pos2.0140]],pointstable[],2,FALSE)</f>
        <v>0</v>
      </c>
      <c r="Q32" s="5">
        <f>VLOOKUP(U14MMWruns[[#This Row],[pos1.0125]],pointstable[],2,FALSE)</f>
        <v>38</v>
      </c>
      <c r="R32" s="5">
        <f>VLOOKUP(U14MMWruns[[#This Row],[pos2.025]],pointstable[],2,FALSE)</f>
        <v>47</v>
      </c>
      <c r="S32" s="5">
        <f>VLOOKUP(U14MMWruns[[#This Row],[pos0122]],pointstable[],2,FALSE)</f>
        <v>130</v>
      </c>
    </row>
    <row r="33" spans="1:19" x14ac:dyDescent="0.25">
      <c r="A33">
        <v>81112</v>
      </c>
      <c r="B33" t="s">
        <v>63</v>
      </c>
      <c r="C33" t="s">
        <v>22</v>
      </c>
      <c r="D33">
        <v>4</v>
      </c>
      <c r="E33" s="5">
        <f>SUM(LARGE(M33:S33,{1,2,3,4,5}))</f>
        <v>274</v>
      </c>
      <c r="F33" s="5">
        <f>IFERROR(VLOOKUP(U14MMWruns[[#This Row],[Card]],results0124[],4,FALSE),999)</f>
        <v>999</v>
      </c>
      <c r="G33" s="5">
        <f>IFERROR(VLOOKUP(U14MMWruns[[#This Row],[Card]],results0124[],5,FALSE),999)</f>
        <v>19</v>
      </c>
      <c r="H33" s="5">
        <f>IFERROR(VLOOKUP(U14MMWruns[[#This Row],[Card]],results0140[],4,FALSE),999)</f>
        <v>14</v>
      </c>
      <c r="I33" s="5">
        <f>IFERROR(VLOOKUP(U14MMWruns[[#This Row],[Card]],results0140[],5,FALSE),999)</f>
        <v>18</v>
      </c>
      <c r="J33" s="5">
        <f>IFERROR(VLOOKUP(U14MMWruns[[#This Row],[Card]],results0125[],4,FALSE),999)</f>
        <v>52</v>
      </c>
      <c r="K33" s="5">
        <f>IFERROR(VLOOKUP(U14MMWruns[[#This Row],[Card]],results0125[],5,FALSE),999)</f>
        <v>999</v>
      </c>
      <c r="L33" s="5">
        <f>IFERROR(VLOOKUP(U14MMWruns[[#This Row],[Card]],results0122[],3,FALSE),999)</f>
        <v>21</v>
      </c>
      <c r="M33" s="5">
        <f>VLOOKUP(U14MMWruns[[#This Row],[pos1.0124]],pointstable[],2,FALSE)</f>
        <v>0</v>
      </c>
      <c r="N33" s="5">
        <f>VLOOKUP(U14MMWruns[[#This Row],[POS2.0124]],pointstable[],2,FALSE)</f>
        <v>60</v>
      </c>
      <c r="O33" s="5">
        <f>VLOOKUP(U14MMWruns[[#This Row],[pos1.0140]],pointstable[],2,FALSE)</f>
        <v>90</v>
      </c>
      <c r="P33" s="5">
        <f>VLOOKUP(U14MMWruns[[#This Row],[pos2.0140]],pointstable[],2,FALSE)</f>
        <v>65</v>
      </c>
      <c r="Q33" s="5">
        <f>VLOOKUP(U14MMWruns[[#This Row],[pos1.0125]],pointstable[],2,FALSE)</f>
        <v>8</v>
      </c>
      <c r="R33" s="5">
        <f>VLOOKUP(U14MMWruns[[#This Row],[pos2.025]],pointstable[],2,FALSE)</f>
        <v>0</v>
      </c>
      <c r="S33" s="5">
        <f>VLOOKUP(U14MMWruns[[#This Row],[pos0122]],pointstable[],2,FALSE)</f>
        <v>51</v>
      </c>
    </row>
    <row r="34" spans="1:19" x14ac:dyDescent="0.25">
      <c r="A34">
        <v>78165</v>
      </c>
      <c r="B34" t="s">
        <v>119</v>
      </c>
      <c r="C34" t="s">
        <v>61</v>
      </c>
      <c r="D34">
        <v>4</v>
      </c>
      <c r="E34" s="5">
        <f>SUM(LARGE(M34:S34,{1,2,3,4,5}))</f>
        <v>258</v>
      </c>
      <c r="F34" s="5">
        <f>IFERROR(VLOOKUP(U14MMWruns[[#This Row],[Card]],results0124[],4,FALSE),999)</f>
        <v>50</v>
      </c>
      <c r="G34" s="5">
        <f>IFERROR(VLOOKUP(U14MMWruns[[#This Row],[Card]],results0124[],5,FALSE),999)</f>
        <v>49</v>
      </c>
      <c r="H34" s="5">
        <f>IFERROR(VLOOKUP(U14MMWruns[[#This Row],[Card]],results0140[],4,FALSE),999)</f>
        <v>23</v>
      </c>
      <c r="I34" s="5">
        <f>IFERROR(VLOOKUP(U14MMWruns[[#This Row],[Card]],results0140[],5,FALSE),999)</f>
        <v>7</v>
      </c>
      <c r="J34" s="5">
        <f>IFERROR(VLOOKUP(U14MMWruns[[#This Row],[Card]],results0125[],4,FALSE),999)</f>
        <v>50</v>
      </c>
      <c r="K34" s="5">
        <f>IFERROR(VLOOKUP(U14MMWruns[[#This Row],[Card]],results0125[],5,FALSE),999)</f>
        <v>49</v>
      </c>
      <c r="L34" s="5">
        <f>IFERROR(VLOOKUP(U14MMWruns[[#This Row],[Card]],results0122[],3,FALSE),999)</f>
        <v>48</v>
      </c>
      <c r="M34" s="5">
        <f>VLOOKUP(U14MMWruns[[#This Row],[pos1.0124]],pointstable[],2,FALSE)</f>
        <v>10</v>
      </c>
      <c r="N34" s="5">
        <f>VLOOKUP(U14MMWruns[[#This Row],[POS2.0124]],pointstable[],2,FALSE)</f>
        <v>11</v>
      </c>
      <c r="O34" s="5">
        <f>VLOOKUP(U14MMWruns[[#This Row],[pos1.0140]],pointstable[],2,FALSE)</f>
        <v>44</v>
      </c>
      <c r="P34" s="5">
        <f>VLOOKUP(U14MMWruns[[#This Row],[pos2.0140]],pointstable[],2,FALSE)</f>
        <v>180</v>
      </c>
      <c r="Q34" s="5">
        <f>VLOOKUP(U14MMWruns[[#This Row],[pos1.0125]],pointstable[],2,FALSE)</f>
        <v>10</v>
      </c>
      <c r="R34" s="5">
        <f>VLOOKUP(U14MMWruns[[#This Row],[pos2.025]],pointstable[],2,FALSE)</f>
        <v>11</v>
      </c>
      <c r="S34" s="5">
        <f>VLOOKUP(U14MMWruns[[#This Row],[pos0122]],pointstable[],2,FALSE)</f>
        <v>12</v>
      </c>
    </row>
    <row r="35" spans="1:19" x14ac:dyDescent="0.25">
      <c r="A35">
        <v>84763</v>
      </c>
      <c r="B35" t="s">
        <v>103</v>
      </c>
      <c r="C35" t="s">
        <v>15</v>
      </c>
      <c r="D35">
        <v>5</v>
      </c>
      <c r="E35" s="5">
        <f>SUM(LARGE(M35:S35,{1,2,3,4,5}))</f>
        <v>249</v>
      </c>
      <c r="F35" s="5">
        <f>IFERROR(VLOOKUP(U14MMWruns[[#This Row],[Card]],results0124[],4,FALSE),999)</f>
        <v>28</v>
      </c>
      <c r="G35" s="5">
        <f>IFERROR(VLOOKUP(U14MMWruns[[#This Row],[Card]],results0124[],5,FALSE),999)</f>
        <v>23</v>
      </c>
      <c r="H35" s="5">
        <f>IFERROR(VLOOKUP(U14MMWruns[[#This Row],[Card]],results0140[],4,FALSE),999)</f>
        <v>12</v>
      </c>
      <c r="I35" s="5">
        <f>IFERROR(VLOOKUP(U14MMWruns[[#This Row],[Card]],results0140[],5,FALSE),999)</f>
        <v>999</v>
      </c>
      <c r="J35" s="5">
        <f>IFERROR(VLOOKUP(U14MMWruns[[#This Row],[Card]],results0125[],4,FALSE),999)</f>
        <v>31</v>
      </c>
      <c r="K35" s="5">
        <f>IFERROR(VLOOKUP(U14MMWruns[[#This Row],[Card]],results0125[],5,FALSE),999)</f>
        <v>27</v>
      </c>
      <c r="L35" s="5">
        <f>IFERROR(VLOOKUP(U14MMWruns[[#This Row],[Card]],results0122[],3,FALSE),999)</f>
        <v>41</v>
      </c>
      <c r="M35" s="5">
        <f>VLOOKUP(U14MMWruns[[#This Row],[pos1.0124]],pointstable[],2,FALSE)</f>
        <v>32</v>
      </c>
      <c r="N35" s="5">
        <f>VLOOKUP(U14MMWruns[[#This Row],[POS2.0124]],pointstable[],2,FALSE)</f>
        <v>44</v>
      </c>
      <c r="O35" s="5">
        <f>VLOOKUP(U14MMWruns[[#This Row],[pos1.0140]],pointstable[],2,FALSE)</f>
        <v>110</v>
      </c>
      <c r="P35" s="5">
        <f>VLOOKUP(U14MMWruns[[#This Row],[pos2.0140]],pointstable[],2,FALSE)</f>
        <v>0</v>
      </c>
      <c r="Q35" s="5">
        <f>VLOOKUP(U14MMWruns[[#This Row],[pos1.0125]],pointstable[],2,FALSE)</f>
        <v>29</v>
      </c>
      <c r="R35" s="5">
        <f>VLOOKUP(U14MMWruns[[#This Row],[pos2.025]],pointstable[],2,FALSE)</f>
        <v>34</v>
      </c>
      <c r="S35" s="5">
        <f>VLOOKUP(U14MMWruns[[#This Row],[pos0122]],pointstable[],2,FALSE)</f>
        <v>19</v>
      </c>
    </row>
    <row r="36" spans="1:19" x14ac:dyDescent="0.25">
      <c r="A36">
        <v>85235</v>
      </c>
      <c r="B36" t="s">
        <v>46</v>
      </c>
      <c r="C36" t="s">
        <v>47</v>
      </c>
      <c r="D36">
        <v>4</v>
      </c>
      <c r="E36" s="5">
        <f>SUM(LARGE(M36:S36,{1,2,3,4,5}))</f>
        <v>240</v>
      </c>
      <c r="F36" s="5">
        <f>IFERROR(VLOOKUP(U14MMWruns[[#This Row],[Card]],results0124[],4,FALSE),999)</f>
        <v>18</v>
      </c>
      <c r="G36" s="5">
        <f>IFERROR(VLOOKUP(U14MMWruns[[#This Row],[Card]],results0124[],5,FALSE),999)</f>
        <v>22</v>
      </c>
      <c r="H36" s="5">
        <f>IFERROR(VLOOKUP(U14MMWruns[[#This Row],[Card]],results0140[],4,FALSE),999)</f>
        <v>999</v>
      </c>
      <c r="I36" s="5">
        <f>IFERROR(VLOOKUP(U14MMWruns[[#This Row],[Card]],results0140[],5,FALSE),999)</f>
        <v>999</v>
      </c>
      <c r="J36" s="5">
        <f>IFERROR(VLOOKUP(U14MMWruns[[#This Row],[Card]],results0125[],4,FALSE),999)</f>
        <v>999</v>
      </c>
      <c r="K36" s="5">
        <f>IFERROR(VLOOKUP(U14MMWruns[[#This Row],[Card]],results0125[],5,FALSE),999)</f>
        <v>25</v>
      </c>
      <c r="L36" s="5">
        <f>IFERROR(VLOOKUP(U14MMWruns[[#This Row],[Card]],results0122[],3,FALSE),999)</f>
        <v>14</v>
      </c>
      <c r="M36" s="5">
        <f>VLOOKUP(U14MMWruns[[#This Row],[pos1.0124]],pointstable[],2,FALSE)</f>
        <v>65</v>
      </c>
      <c r="N36" s="5">
        <f>VLOOKUP(U14MMWruns[[#This Row],[POS2.0124]],pointstable[],2,FALSE)</f>
        <v>47</v>
      </c>
      <c r="O36" s="5">
        <f>VLOOKUP(U14MMWruns[[#This Row],[pos1.0140]],pointstable[],2,FALSE)</f>
        <v>0</v>
      </c>
      <c r="P36" s="5">
        <f>VLOOKUP(U14MMWruns[[#This Row],[pos2.0140]],pointstable[],2,FALSE)</f>
        <v>0</v>
      </c>
      <c r="Q36" s="5">
        <f>VLOOKUP(U14MMWruns[[#This Row],[pos1.0125]],pointstable[],2,FALSE)</f>
        <v>0</v>
      </c>
      <c r="R36" s="5">
        <f>VLOOKUP(U14MMWruns[[#This Row],[pos2.025]],pointstable[],2,FALSE)</f>
        <v>38</v>
      </c>
      <c r="S36" s="5">
        <f>VLOOKUP(U14MMWruns[[#This Row],[pos0122]],pointstable[],2,FALSE)</f>
        <v>90</v>
      </c>
    </row>
    <row r="37" spans="1:19" x14ac:dyDescent="0.25">
      <c r="A37">
        <v>78610</v>
      </c>
      <c r="B37" t="s">
        <v>133</v>
      </c>
      <c r="C37" t="s">
        <v>15</v>
      </c>
      <c r="D37">
        <v>5</v>
      </c>
      <c r="E37" s="5">
        <f>SUM(LARGE(M37:S37,{1,2,3,4,5}))</f>
        <v>234</v>
      </c>
      <c r="F37" s="5">
        <f>IFERROR(VLOOKUP(U14MMWruns[[#This Row],[Card]],results0124[],4,FALSE),999)</f>
        <v>43</v>
      </c>
      <c r="G37" s="5">
        <f>IFERROR(VLOOKUP(U14MMWruns[[#This Row],[Card]],results0124[],5,FALSE),999)</f>
        <v>46</v>
      </c>
      <c r="H37" s="5">
        <f>IFERROR(VLOOKUP(U14MMWruns[[#This Row],[Card]],results0140[],4,FALSE),999)</f>
        <v>21</v>
      </c>
      <c r="I37" s="5">
        <f>IFERROR(VLOOKUP(U14MMWruns[[#This Row],[Card]],results0140[],5,FALSE),999)</f>
        <v>12</v>
      </c>
      <c r="J37" s="5">
        <f>IFERROR(VLOOKUP(U14MMWruns[[#This Row],[Card]],results0125[],4,FALSE),999)</f>
        <v>27</v>
      </c>
      <c r="K37" s="5">
        <f>IFERROR(VLOOKUP(U14MMWruns[[#This Row],[Card]],results0125[],5,FALSE),999)</f>
        <v>38</v>
      </c>
      <c r="L37" s="5">
        <f>IFERROR(VLOOKUP(U14MMWruns[[#This Row],[Card]],results0122[],3,FALSE),999)</f>
        <v>55</v>
      </c>
      <c r="M37" s="5">
        <f>VLOOKUP(U14MMWruns[[#This Row],[pos1.0124]],pointstable[],2,FALSE)</f>
        <v>17</v>
      </c>
      <c r="N37" s="5">
        <f>VLOOKUP(U14MMWruns[[#This Row],[POS2.0124]],pointstable[],2,FALSE)</f>
        <v>14</v>
      </c>
      <c r="O37" s="5">
        <f>VLOOKUP(U14MMWruns[[#This Row],[pos1.0140]],pointstable[],2,FALSE)</f>
        <v>51</v>
      </c>
      <c r="P37" s="5">
        <f>VLOOKUP(U14MMWruns[[#This Row],[pos2.0140]],pointstable[],2,FALSE)</f>
        <v>110</v>
      </c>
      <c r="Q37" s="5">
        <f>VLOOKUP(U14MMWruns[[#This Row],[pos1.0125]],pointstable[],2,FALSE)</f>
        <v>34</v>
      </c>
      <c r="R37" s="5">
        <f>VLOOKUP(U14MMWruns[[#This Row],[pos2.025]],pointstable[],2,FALSE)</f>
        <v>22</v>
      </c>
      <c r="S37" s="5">
        <f>VLOOKUP(U14MMWruns[[#This Row],[pos0122]],pointstable[],2,FALSE)</f>
        <v>5</v>
      </c>
    </row>
    <row r="38" spans="1:19" x14ac:dyDescent="0.25">
      <c r="A38">
        <v>77422</v>
      </c>
      <c r="B38" t="s">
        <v>84</v>
      </c>
      <c r="C38" t="s">
        <v>54</v>
      </c>
      <c r="D38">
        <v>4</v>
      </c>
      <c r="E38" s="5">
        <f>SUM(LARGE(M38:S38,{1,2,3,4,5}))</f>
        <v>224</v>
      </c>
      <c r="F38" s="5">
        <f>IFERROR(VLOOKUP(U14MMWruns[[#This Row],[Card]],results0124[],4,FALSE),999)</f>
        <v>24</v>
      </c>
      <c r="G38" s="5">
        <f>IFERROR(VLOOKUP(U14MMWruns[[#This Row],[Card]],results0124[],5,FALSE),999)</f>
        <v>11</v>
      </c>
      <c r="H38" s="5">
        <f>IFERROR(VLOOKUP(U14MMWruns[[#This Row],[Card]],results0140[],4,FALSE),999)</f>
        <v>68</v>
      </c>
      <c r="I38" s="5">
        <f>IFERROR(VLOOKUP(U14MMWruns[[#This Row],[Card]],results0140[],5,FALSE),999)</f>
        <v>56</v>
      </c>
      <c r="J38" s="5">
        <f>IFERROR(VLOOKUP(U14MMWruns[[#This Row],[Card]],results0125[],4,FALSE),999)</f>
        <v>999</v>
      </c>
      <c r="K38" s="5">
        <f>IFERROR(VLOOKUP(U14MMWruns[[#This Row],[Card]],results0125[],5,FALSE),999)</f>
        <v>29</v>
      </c>
      <c r="L38" s="5">
        <f>IFERROR(VLOOKUP(U14MMWruns[[#This Row],[Card]],results0122[],3,FALSE),999)</f>
        <v>32</v>
      </c>
      <c r="M38" s="5">
        <f>VLOOKUP(U14MMWruns[[#This Row],[pos1.0124]],pointstable[],2,FALSE)</f>
        <v>41</v>
      </c>
      <c r="N38" s="5">
        <f>VLOOKUP(U14MMWruns[[#This Row],[POS2.0124]],pointstable[],2,FALSE)</f>
        <v>120</v>
      </c>
      <c r="O38" s="5">
        <f>VLOOKUP(U14MMWruns[[#This Row],[pos1.0140]],pointstable[],2,FALSE)</f>
        <v>0</v>
      </c>
      <c r="P38" s="5">
        <f>VLOOKUP(U14MMWruns[[#This Row],[pos2.0140]],pointstable[],2,FALSE)</f>
        <v>4</v>
      </c>
      <c r="Q38" s="5">
        <f>VLOOKUP(U14MMWruns[[#This Row],[pos1.0125]],pointstable[],2,FALSE)</f>
        <v>0</v>
      </c>
      <c r="R38" s="5">
        <f>VLOOKUP(U14MMWruns[[#This Row],[pos2.025]],pointstable[],2,FALSE)</f>
        <v>31</v>
      </c>
      <c r="S38" s="5">
        <f>VLOOKUP(U14MMWruns[[#This Row],[pos0122]],pointstable[],2,FALSE)</f>
        <v>28</v>
      </c>
    </row>
    <row r="39" spans="1:19" x14ac:dyDescent="0.25">
      <c r="A39">
        <v>78619</v>
      </c>
      <c r="B39" t="s">
        <v>121</v>
      </c>
      <c r="C39" t="s">
        <v>61</v>
      </c>
      <c r="D39">
        <v>4</v>
      </c>
      <c r="E39" s="5">
        <f>SUM(LARGE(M39:S39,{1,2,3,4,5}))</f>
        <v>223</v>
      </c>
      <c r="F39" s="5">
        <f>IFERROR(VLOOKUP(U14MMWruns[[#This Row],[Card]],results0124[],4,FALSE),999)</f>
        <v>39</v>
      </c>
      <c r="G39" s="5">
        <f>IFERROR(VLOOKUP(U14MMWruns[[#This Row],[Card]],results0124[],5,FALSE),999)</f>
        <v>43</v>
      </c>
      <c r="H39" s="5">
        <f>IFERROR(VLOOKUP(U14MMWruns[[#This Row],[Card]],results0140[],4,FALSE),999)</f>
        <v>26</v>
      </c>
      <c r="I39" s="5">
        <f>IFERROR(VLOOKUP(U14MMWruns[[#This Row],[Card]],results0140[],5,FALSE),999)</f>
        <v>11</v>
      </c>
      <c r="J39" s="5">
        <f>IFERROR(VLOOKUP(U14MMWruns[[#This Row],[Card]],results0125[],4,FALSE),999)</f>
        <v>34</v>
      </c>
      <c r="K39" s="5">
        <f>IFERROR(VLOOKUP(U14MMWruns[[#This Row],[Card]],results0125[],5,FALSE),999)</f>
        <v>40</v>
      </c>
      <c r="L39" s="5">
        <f>IFERROR(VLOOKUP(U14MMWruns[[#This Row],[Card]],results0122[],3,FALSE),999)</f>
        <v>49</v>
      </c>
      <c r="M39" s="5">
        <f>VLOOKUP(U14MMWruns[[#This Row],[pos1.0124]],pointstable[],2,FALSE)</f>
        <v>21</v>
      </c>
      <c r="N39" s="5">
        <f>VLOOKUP(U14MMWruns[[#This Row],[POS2.0124]],pointstable[],2,FALSE)</f>
        <v>17</v>
      </c>
      <c r="O39" s="5">
        <f>VLOOKUP(U14MMWruns[[#This Row],[pos1.0140]],pointstable[],2,FALSE)</f>
        <v>36</v>
      </c>
      <c r="P39" s="5">
        <f>VLOOKUP(U14MMWruns[[#This Row],[pos2.0140]],pointstable[],2,FALSE)</f>
        <v>120</v>
      </c>
      <c r="Q39" s="5">
        <f>VLOOKUP(U14MMWruns[[#This Row],[pos1.0125]],pointstable[],2,FALSE)</f>
        <v>26</v>
      </c>
      <c r="R39" s="5">
        <f>VLOOKUP(U14MMWruns[[#This Row],[pos2.025]],pointstable[],2,FALSE)</f>
        <v>20</v>
      </c>
      <c r="S39" s="5">
        <f>VLOOKUP(U14MMWruns[[#This Row],[pos0122]],pointstable[],2,FALSE)</f>
        <v>11</v>
      </c>
    </row>
    <row r="40" spans="1:19" x14ac:dyDescent="0.25">
      <c r="A40">
        <v>78276</v>
      </c>
      <c r="B40" t="s">
        <v>92</v>
      </c>
      <c r="C40" t="s">
        <v>31</v>
      </c>
      <c r="D40">
        <v>4</v>
      </c>
      <c r="E40" s="5">
        <f>SUM(LARGE(M40:S40,{1,2,3,4,5}))</f>
        <v>203</v>
      </c>
      <c r="F40" s="5">
        <f>IFERROR(VLOOKUP(U14MMWruns[[#This Row],[Card]],results0124[],4,FALSE),999)</f>
        <v>18</v>
      </c>
      <c r="G40" s="5">
        <f>IFERROR(VLOOKUP(U14MMWruns[[#This Row],[Card]],results0124[],5,FALSE),999)</f>
        <v>20</v>
      </c>
      <c r="H40" s="5">
        <f>IFERROR(VLOOKUP(U14MMWruns[[#This Row],[Card]],results0140[],4,FALSE),999)</f>
        <v>29</v>
      </c>
      <c r="I40" s="5">
        <f>IFERROR(VLOOKUP(U14MMWruns[[#This Row],[Card]],results0140[],5,FALSE),999)</f>
        <v>999</v>
      </c>
      <c r="J40" s="5">
        <f>IFERROR(VLOOKUP(U14MMWruns[[#This Row],[Card]],results0125[],4,FALSE),999)</f>
        <v>32</v>
      </c>
      <c r="K40" s="5">
        <f>IFERROR(VLOOKUP(U14MMWruns[[#This Row],[Card]],results0125[],5,FALSE),999)</f>
        <v>48</v>
      </c>
      <c r="L40" s="5">
        <f>IFERROR(VLOOKUP(U14MMWruns[[#This Row],[Card]],results0122[],3,FALSE),999)</f>
        <v>36</v>
      </c>
      <c r="M40" s="5">
        <f>VLOOKUP(U14MMWruns[[#This Row],[pos1.0124]],pointstable[],2,FALSE)</f>
        <v>65</v>
      </c>
      <c r="N40" s="5">
        <f>VLOOKUP(U14MMWruns[[#This Row],[POS2.0124]],pointstable[],2,FALSE)</f>
        <v>55</v>
      </c>
      <c r="O40" s="5">
        <f>VLOOKUP(U14MMWruns[[#This Row],[pos1.0140]],pointstable[],2,FALSE)</f>
        <v>31</v>
      </c>
      <c r="P40" s="5">
        <f>VLOOKUP(U14MMWruns[[#This Row],[pos2.0140]],pointstable[],2,FALSE)</f>
        <v>0</v>
      </c>
      <c r="Q40" s="5">
        <f>VLOOKUP(U14MMWruns[[#This Row],[pos1.0125]],pointstable[],2,FALSE)</f>
        <v>28</v>
      </c>
      <c r="R40" s="5">
        <f>VLOOKUP(U14MMWruns[[#This Row],[pos2.025]],pointstable[],2,FALSE)</f>
        <v>12</v>
      </c>
      <c r="S40" s="5">
        <f>VLOOKUP(U14MMWruns[[#This Row],[pos0122]],pointstable[],2,FALSE)</f>
        <v>24</v>
      </c>
    </row>
    <row r="41" spans="1:19" x14ac:dyDescent="0.25">
      <c r="A41">
        <v>77214</v>
      </c>
      <c r="B41" t="s">
        <v>154</v>
      </c>
      <c r="C41" t="s">
        <v>155</v>
      </c>
      <c r="D41">
        <v>5</v>
      </c>
      <c r="E41" s="5">
        <f>SUM(LARGE(M41:S41,{1,2,3,4,5}))</f>
        <v>184</v>
      </c>
      <c r="F41" s="5">
        <f>IFERROR(VLOOKUP(U14MMWruns[[#This Row],[Card]],results0124[],4,FALSE),999)</f>
        <v>63</v>
      </c>
      <c r="G41" s="5">
        <f>IFERROR(VLOOKUP(U14MMWruns[[#This Row],[Card]],results0124[],5,FALSE),999)</f>
        <v>56</v>
      </c>
      <c r="H41" s="5">
        <f>IFERROR(VLOOKUP(U14MMWruns[[#This Row],[Card]],results0140[],4,FALSE),999)</f>
        <v>15</v>
      </c>
      <c r="I41" s="5">
        <f>IFERROR(VLOOKUP(U14MMWruns[[#This Row],[Card]],results0140[],5,FALSE),999)</f>
        <v>13</v>
      </c>
      <c r="J41" s="5">
        <f>IFERROR(VLOOKUP(U14MMWruns[[#This Row],[Card]],results0125[],4,FALSE),999)</f>
        <v>999</v>
      </c>
      <c r="K41" s="5">
        <f>IFERROR(VLOOKUP(U14MMWruns[[#This Row],[Card]],results0125[],5,FALSE),999)</f>
        <v>70</v>
      </c>
      <c r="L41" s="5">
        <f>IFERROR(VLOOKUP(U14MMWruns[[#This Row],[Card]],results0122[],3,FALSE),999)</f>
        <v>65</v>
      </c>
      <c r="M41" s="5">
        <f>VLOOKUP(U14MMWruns[[#This Row],[pos1.0124]],pointstable[],2,FALSE)</f>
        <v>0</v>
      </c>
      <c r="N41" s="5">
        <f>VLOOKUP(U14MMWruns[[#This Row],[POS2.0124]],pointstable[],2,FALSE)</f>
        <v>4</v>
      </c>
      <c r="O41" s="5">
        <f>VLOOKUP(U14MMWruns[[#This Row],[pos1.0140]],pointstable[],2,FALSE)</f>
        <v>80</v>
      </c>
      <c r="P41" s="5">
        <f>VLOOKUP(U14MMWruns[[#This Row],[pos2.0140]],pointstable[],2,FALSE)</f>
        <v>100</v>
      </c>
      <c r="Q41" s="5">
        <f>VLOOKUP(U14MMWruns[[#This Row],[pos1.0125]],pointstable[],2,FALSE)</f>
        <v>0</v>
      </c>
      <c r="R41" s="5">
        <f>VLOOKUP(U14MMWruns[[#This Row],[pos2.025]],pointstable[],2,FALSE)</f>
        <v>0</v>
      </c>
      <c r="S41" s="5">
        <f>VLOOKUP(U14MMWruns[[#This Row],[pos0122]],pointstable[],2,FALSE)</f>
        <v>0</v>
      </c>
    </row>
    <row r="42" spans="1:19" x14ac:dyDescent="0.25">
      <c r="A42">
        <v>82441</v>
      </c>
      <c r="B42" t="s">
        <v>96</v>
      </c>
      <c r="C42" t="s">
        <v>15</v>
      </c>
      <c r="D42">
        <v>4</v>
      </c>
      <c r="E42" s="5">
        <f>SUM(LARGE(M42:S42,{1,2,3,4,5}))</f>
        <v>180</v>
      </c>
      <c r="F42" s="5">
        <f>IFERROR(VLOOKUP(U14MMWruns[[#This Row],[Card]],results0124[],4,FALSE),999)</f>
        <v>38</v>
      </c>
      <c r="G42" s="5">
        <f>IFERROR(VLOOKUP(U14MMWruns[[#This Row],[Card]],results0124[],5,FALSE),999)</f>
        <v>14</v>
      </c>
      <c r="H42" s="5">
        <f>IFERROR(VLOOKUP(U14MMWruns[[#This Row],[Card]],results0140[],4,FALSE),999)</f>
        <v>999</v>
      </c>
      <c r="I42" s="5">
        <f>IFERROR(VLOOKUP(U14MMWruns[[#This Row],[Card]],results0140[],5,FALSE),999)</f>
        <v>50</v>
      </c>
      <c r="J42" s="5">
        <f>IFERROR(VLOOKUP(U14MMWruns[[#This Row],[Card]],results0125[],4,FALSE),999)</f>
        <v>999</v>
      </c>
      <c r="K42" s="5">
        <f>IFERROR(VLOOKUP(U14MMWruns[[#This Row],[Card]],results0125[],5,FALSE),999)</f>
        <v>26</v>
      </c>
      <c r="L42" s="5">
        <f>IFERROR(VLOOKUP(U14MMWruns[[#This Row],[Card]],results0122[],3,FALSE),999)</f>
        <v>38</v>
      </c>
      <c r="M42" s="5">
        <f>VLOOKUP(U14MMWruns[[#This Row],[pos1.0124]],pointstable[],2,FALSE)</f>
        <v>22</v>
      </c>
      <c r="N42" s="5">
        <f>VLOOKUP(U14MMWruns[[#This Row],[POS2.0124]],pointstable[],2,FALSE)</f>
        <v>90</v>
      </c>
      <c r="O42" s="5">
        <f>VLOOKUP(U14MMWruns[[#This Row],[pos1.0140]],pointstable[],2,FALSE)</f>
        <v>0</v>
      </c>
      <c r="P42" s="5">
        <f>VLOOKUP(U14MMWruns[[#This Row],[pos2.0140]],pointstable[],2,FALSE)</f>
        <v>10</v>
      </c>
      <c r="Q42" s="5">
        <f>VLOOKUP(U14MMWruns[[#This Row],[pos1.0125]],pointstable[],2,FALSE)</f>
        <v>0</v>
      </c>
      <c r="R42" s="5">
        <f>VLOOKUP(U14MMWruns[[#This Row],[pos2.025]],pointstable[],2,FALSE)</f>
        <v>36</v>
      </c>
      <c r="S42" s="5">
        <f>VLOOKUP(U14MMWruns[[#This Row],[pos0122]],pointstable[],2,FALSE)</f>
        <v>22</v>
      </c>
    </row>
    <row r="43" spans="1:19" x14ac:dyDescent="0.25">
      <c r="A43">
        <v>80828</v>
      </c>
      <c r="B43" t="s">
        <v>88</v>
      </c>
      <c r="C43" t="s">
        <v>54</v>
      </c>
      <c r="D43">
        <v>5</v>
      </c>
      <c r="E43" s="5">
        <f>SUM(LARGE(M43:S43,{1,2,3,4,5}))</f>
        <v>179</v>
      </c>
      <c r="F43" s="5">
        <f>IFERROR(VLOOKUP(U14MMWruns[[#This Row],[Card]],results0124[],4,FALSE),999)</f>
        <v>999</v>
      </c>
      <c r="G43" s="5">
        <f>IFERROR(VLOOKUP(U14MMWruns[[#This Row],[Card]],results0124[],5,FALSE),999)</f>
        <v>41</v>
      </c>
      <c r="H43" s="5">
        <f>IFERROR(VLOOKUP(U14MMWruns[[#This Row],[Card]],results0140[],4,FALSE),999)</f>
        <v>24</v>
      </c>
      <c r="I43" s="5">
        <f>IFERROR(VLOOKUP(U14MMWruns[[#This Row],[Card]],results0140[],5,FALSE),999)</f>
        <v>15</v>
      </c>
      <c r="J43" s="5">
        <f>IFERROR(VLOOKUP(U14MMWruns[[#This Row],[Card]],results0125[],4,FALSE),999)</f>
        <v>47</v>
      </c>
      <c r="K43" s="5">
        <f>IFERROR(VLOOKUP(U14MMWruns[[#This Row],[Card]],results0125[],5,FALSE),999)</f>
        <v>47</v>
      </c>
      <c r="L43" s="5">
        <f>IFERROR(VLOOKUP(U14MMWruns[[#This Row],[Card]],results0122[],3,FALSE),999)</f>
        <v>34</v>
      </c>
      <c r="M43" s="5">
        <f>VLOOKUP(U14MMWruns[[#This Row],[pos1.0124]],pointstable[],2,FALSE)</f>
        <v>0</v>
      </c>
      <c r="N43" s="5">
        <f>VLOOKUP(U14MMWruns[[#This Row],[POS2.0124]],pointstable[],2,FALSE)</f>
        <v>19</v>
      </c>
      <c r="O43" s="5">
        <f>VLOOKUP(U14MMWruns[[#This Row],[pos1.0140]],pointstable[],2,FALSE)</f>
        <v>41</v>
      </c>
      <c r="P43" s="5">
        <f>VLOOKUP(U14MMWruns[[#This Row],[pos2.0140]],pointstable[],2,FALSE)</f>
        <v>80</v>
      </c>
      <c r="Q43" s="5">
        <f>VLOOKUP(U14MMWruns[[#This Row],[pos1.0125]],pointstable[],2,FALSE)</f>
        <v>13</v>
      </c>
      <c r="R43" s="5">
        <f>VLOOKUP(U14MMWruns[[#This Row],[pos2.025]],pointstable[],2,FALSE)</f>
        <v>13</v>
      </c>
      <c r="S43" s="5">
        <f>VLOOKUP(U14MMWruns[[#This Row],[pos0122]],pointstable[],2,FALSE)</f>
        <v>26</v>
      </c>
    </row>
    <row r="44" spans="1:19" x14ac:dyDescent="0.25">
      <c r="A44">
        <v>78164</v>
      </c>
      <c r="B44" t="s">
        <v>129</v>
      </c>
      <c r="C44" t="s">
        <v>61</v>
      </c>
      <c r="D44">
        <v>5</v>
      </c>
      <c r="E44" s="5">
        <f>SUM(LARGE(M44:S44,{1,2,3,4,5}))</f>
        <v>171</v>
      </c>
      <c r="F44" s="5">
        <f>IFERROR(VLOOKUP(U14MMWruns[[#This Row],[Card]],results0124[],4,FALSE),999)</f>
        <v>61</v>
      </c>
      <c r="G44" s="5">
        <f>IFERROR(VLOOKUP(U14MMWruns[[#This Row],[Card]],results0124[],5,FALSE),999)</f>
        <v>52</v>
      </c>
      <c r="H44" s="5">
        <f>IFERROR(VLOOKUP(U14MMWruns[[#This Row],[Card]],results0140[],4,FALSE),999)</f>
        <v>18</v>
      </c>
      <c r="I44" s="5">
        <f>IFERROR(VLOOKUP(U14MMWruns[[#This Row],[Card]],results0140[],5,FALSE),999)</f>
        <v>16</v>
      </c>
      <c r="J44" s="5">
        <f>IFERROR(VLOOKUP(U14MMWruns[[#This Row],[Card]],results0125[],4,FALSE),999)</f>
        <v>67</v>
      </c>
      <c r="K44" s="5">
        <f>IFERROR(VLOOKUP(U14MMWruns[[#This Row],[Card]],results0125[],5,FALSE),999)</f>
        <v>44</v>
      </c>
      <c r="L44" s="5">
        <f>IFERROR(VLOOKUP(U14MMWruns[[#This Row],[Card]],results0122[],3,FALSE),999)</f>
        <v>53</v>
      </c>
      <c r="M44" s="5">
        <f>VLOOKUP(U14MMWruns[[#This Row],[pos1.0124]],pointstable[],2,FALSE)</f>
        <v>0</v>
      </c>
      <c r="N44" s="5">
        <f>VLOOKUP(U14MMWruns[[#This Row],[POS2.0124]],pointstable[],2,FALSE)</f>
        <v>8</v>
      </c>
      <c r="O44" s="5">
        <f>VLOOKUP(U14MMWruns[[#This Row],[pos1.0140]],pointstable[],2,FALSE)</f>
        <v>65</v>
      </c>
      <c r="P44" s="5">
        <f>VLOOKUP(U14MMWruns[[#This Row],[pos2.0140]],pointstable[],2,FALSE)</f>
        <v>75</v>
      </c>
      <c r="Q44" s="5">
        <f>VLOOKUP(U14MMWruns[[#This Row],[pos1.0125]],pointstable[],2,FALSE)</f>
        <v>0</v>
      </c>
      <c r="R44" s="5">
        <f>VLOOKUP(U14MMWruns[[#This Row],[pos2.025]],pointstable[],2,FALSE)</f>
        <v>16</v>
      </c>
      <c r="S44" s="5">
        <f>VLOOKUP(U14MMWruns[[#This Row],[pos0122]],pointstable[],2,FALSE)</f>
        <v>7</v>
      </c>
    </row>
    <row r="45" spans="1:19" x14ac:dyDescent="0.25">
      <c r="A45">
        <v>85853</v>
      </c>
      <c r="B45" t="s">
        <v>82</v>
      </c>
      <c r="C45" t="s">
        <v>15</v>
      </c>
      <c r="D45">
        <v>5</v>
      </c>
      <c r="E45" s="5">
        <f>SUM(LARGE(M45:S45,{1,2,3,4,5}))</f>
        <v>158</v>
      </c>
      <c r="F45" s="5">
        <f>IFERROR(VLOOKUP(U14MMWruns[[#This Row],[Card]],results0124[],4,FALSE),999)</f>
        <v>999</v>
      </c>
      <c r="G45" s="5">
        <f>IFERROR(VLOOKUP(U14MMWruns[[#This Row],[Card]],results0124[],5,FALSE),999)</f>
        <v>25</v>
      </c>
      <c r="H45" s="5">
        <f>IFERROR(VLOOKUP(U14MMWruns[[#This Row],[Card]],results0140[],4,FALSE),999)</f>
        <v>22</v>
      </c>
      <c r="I45" s="5">
        <f>IFERROR(VLOOKUP(U14MMWruns[[#This Row],[Card]],results0140[],5,FALSE),999)</f>
        <v>999</v>
      </c>
      <c r="J45" s="5">
        <f>IFERROR(VLOOKUP(U14MMWruns[[#This Row],[Card]],results0125[],4,FALSE),999)</f>
        <v>23</v>
      </c>
      <c r="K45" s="5">
        <f>IFERROR(VLOOKUP(U14MMWruns[[#This Row],[Card]],results0125[],5,FALSE),999)</f>
        <v>102</v>
      </c>
      <c r="L45" s="5">
        <f>IFERROR(VLOOKUP(U14MMWruns[[#This Row],[Card]],results0122[],3,FALSE),999)</f>
        <v>31</v>
      </c>
      <c r="M45" s="5">
        <f>VLOOKUP(U14MMWruns[[#This Row],[pos1.0124]],pointstable[],2,FALSE)</f>
        <v>0</v>
      </c>
      <c r="N45" s="5">
        <f>VLOOKUP(U14MMWruns[[#This Row],[POS2.0124]],pointstable[],2,FALSE)</f>
        <v>38</v>
      </c>
      <c r="O45" s="5">
        <f>VLOOKUP(U14MMWruns[[#This Row],[pos1.0140]],pointstable[],2,FALSE)</f>
        <v>47</v>
      </c>
      <c r="P45" s="5">
        <f>VLOOKUP(U14MMWruns[[#This Row],[pos2.0140]],pointstable[],2,FALSE)</f>
        <v>0</v>
      </c>
      <c r="Q45" s="5">
        <f>VLOOKUP(U14MMWruns[[#This Row],[pos1.0125]],pointstable[],2,FALSE)</f>
        <v>44</v>
      </c>
      <c r="R45" s="5">
        <f>VLOOKUP(U14MMWruns[[#This Row],[pos2.025]],pointstable[],2,FALSE)</f>
        <v>0</v>
      </c>
      <c r="S45" s="5">
        <f>VLOOKUP(U14MMWruns[[#This Row],[pos0122]],pointstable[],2,FALSE)</f>
        <v>29</v>
      </c>
    </row>
    <row r="46" spans="1:19" x14ac:dyDescent="0.25">
      <c r="A46">
        <v>74564</v>
      </c>
      <c r="B46" t="s">
        <v>100</v>
      </c>
      <c r="C46" t="s">
        <v>101</v>
      </c>
      <c r="D46">
        <v>5</v>
      </c>
      <c r="E46" s="5">
        <f>SUM(LARGE(M46:S46,{1,2,3,4,5}))</f>
        <v>148</v>
      </c>
      <c r="F46" s="5">
        <f>IFERROR(VLOOKUP(U14MMWruns[[#This Row],[Card]],results0124[],4,FALSE),999)</f>
        <v>26</v>
      </c>
      <c r="G46" s="5">
        <f>IFERROR(VLOOKUP(U14MMWruns[[#This Row],[Card]],results0124[],5,FALSE),999)</f>
        <v>21</v>
      </c>
      <c r="H46" s="5">
        <f>IFERROR(VLOOKUP(U14MMWruns[[#This Row],[Card]],results0140[],4,FALSE),999)</f>
        <v>69</v>
      </c>
      <c r="I46" s="5">
        <f>IFERROR(VLOOKUP(U14MMWruns[[#This Row],[Card]],results0140[],5,FALSE),999)</f>
        <v>999</v>
      </c>
      <c r="J46" s="5">
        <f>IFERROR(VLOOKUP(U14MMWruns[[#This Row],[Card]],results0125[],4,FALSE),999)</f>
        <v>48</v>
      </c>
      <c r="K46" s="5">
        <f>IFERROR(VLOOKUP(U14MMWruns[[#This Row],[Card]],results0125[],5,FALSE),999)</f>
        <v>31</v>
      </c>
      <c r="L46" s="5">
        <f>IFERROR(VLOOKUP(U14MMWruns[[#This Row],[Card]],results0122[],3,FALSE),999)</f>
        <v>40</v>
      </c>
      <c r="M46" s="5">
        <f>VLOOKUP(U14MMWruns[[#This Row],[pos1.0124]],pointstable[],2,FALSE)</f>
        <v>36</v>
      </c>
      <c r="N46" s="5">
        <f>VLOOKUP(U14MMWruns[[#This Row],[POS2.0124]],pointstable[],2,FALSE)</f>
        <v>51</v>
      </c>
      <c r="O46" s="5">
        <f>VLOOKUP(U14MMWruns[[#This Row],[pos1.0140]],pointstable[],2,FALSE)</f>
        <v>0</v>
      </c>
      <c r="P46" s="5">
        <f>VLOOKUP(U14MMWruns[[#This Row],[pos2.0140]],pointstable[],2,FALSE)</f>
        <v>0</v>
      </c>
      <c r="Q46" s="5">
        <f>VLOOKUP(U14MMWruns[[#This Row],[pos1.0125]],pointstable[],2,FALSE)</f>
        <v>12</v>
      </c>
      <c r="R46" s="5">
        <f>VLOOKUP(U14MMWruns[[#This Row],[pos2.025]],pointstable[],2,FALSE)</f>
        <v>29</v>
      </c>
      <c r="S46" s="5">
        <f>VLOOKUP(U14MMWruns[[#This Row],[pos0122]],pointstable[],2,FALSE)</f>
        <v>20</v>
      </c>
    </row>
    <row r="47" spans="1:19" x14ac:dyDescent="0.25">
      <c r="A47">
        <v>82186</v>
      </c>
      <c r="B47" t="s">
        <v>114</v>
      </c>
      <c r="C47" t="s">
        <v>15</v>
      </c>
      <c r="D47">
        <v>4</v>
      </c>
      <c r="E47" s="5">
        <f>SUM(LARGE(M47:S47,{1,2,3,4,5}))</f>
        <v>136</v>
      </c>
      <c r="F47" s="5">
        <f>IFERROR(VLOOKUP(U14MMWruns[[#This Row],[Card]],results0124[],4,FALSE),999)</f>
        <v>29</v>
      </c>
      <c r="G47" s="5">
        <f>IFERROR(VLOOKUP(U14MMWruns[[#This Row],[Card]],results0124[],5,FALSE),999)</f>
        <v>25</v>
      </c>
      <c r="H47" s="5">
        <f>IFERROR(VLOOKUP(U14MMWruns[[#This Row],[Card]],results0140[],4,FALSE),999)</f>
        <v>999</v>
      </c>
      <c r="I47" s="5">
        <f>IFERROR(VLOOKUP(U14MMWruns[[#This Row],[Card]],results0140[],5,FALSE),999)</f>
        <v>999</v>
      </c>
      <c r="J47" s="5">
        <f>IFERROR(VLOOKUP(U14MMWruns[[#This Row],[Card]],results0125[],4,FALSE),999)</f>
        <v>25</v>
      </c>
      <c r="K47" s="5">
        <f>IFERROR(VLOOKUP(U14MMWruns[[#This Row],[Card]],results0125[],5,FALSE),999)</f>
        <v>45</v>
      </c>
      <c r="L47" s="5">
        <f>IFERROR(VLOOKUP(U14MMWruns[[#This Row],[Card]],results0122[],3,FALSE),999)</f>
        <v>46</v>
      </c>
      <c r="M47" s="5">
        <f>VLOOKUP(U14MMWruns[[#This Row],[pos1.0124]],pointstable[],2,FALSE)</f>
        <v>31</v>
      </c>
      <c r="N47" s="5">
        <f>VLOOKUP(U14MMWruns[[#This Row],[POS2.0124]],pointstable[],2,FALSE)</f>
        <v>38</v>
      </c>
      <c r="O47" s="5">
        <f>VLOOKUP(U14MMWruns[[#This Row],[pos1.0140]],pointstable[],2,FALSE)</f>
        <v>0</v>
      </c>
      <c r="P47" s="5">
        <f>VLOOKUP(U14MMWruns[[#This Row],[pos2.0140]],pointstable[],2,FALSE)</f>
        <v>0</v>
      </c>
      <c r="Q47" s="5">
        <f>VLOOKUP(U14MMWruns[[#This Row],[pos1.0125]],pointstable[],2,FALSE)</f>
        <v>38</v>
      </c>
      <c r="R47" s="5">
        <f>VLOOKUP(U14MMWruns[[#This Row],[pos2.025]],pointstable[],2,FALSE)</f>
        <v>15</v>
      </c>
      <c r="S47" s="5">
        <f>VLOOKUP(U14MMWruns[[#This Row],[pos0122]],pointstable[],2,FALSE)</f>
        <v>14</v>
      </c>
    </row>
    <row r="48" spans="1:19" x14ac:dyDescent="0.25">
      <c r="A48">
        <v>81491</v>
      </c>
      <c r="B48" t="s">
        <v>105</v>
      </c>
      <c r="C48" t="s">
        <v>22</v>
      </c>
      <c r="D48">
        <v>5</v>
      </c>
      <c r="E48" s="5">
        <f>SUM(LARGE(M48:S48,{1,2,3,4,5}))</f>
        <v>134</v>
      </c>
      <c r="F48" s="5">
        <f>IFERROR(VLOOKUP(U14MMWruns[[#This Row],[Card]],results0124[],4,FALSE),999)</f>
        <v>33</v>
      </c>
      <c r="G48" s="5">
        <f>IFERROR(VLOOKUP(U14MMWruns[[#This Row],[Card]],results0124[],5,FALSE),999)</f>
        <v>89</v>
      </c>
      <c r="H48" s="5">
        <f>IFERROR(VLOOKUP(U14MMWruns[[#This Row],[Card]],results0140[],4,FALSE),999)</f>
        <v>30</v>
      </c>
      <c r="I48" s="5">
        <f>IFERROR(VLOOKUP(U14MMWruns[[#This Row],[Card]],results0140[],5,FALSE),999)</f>
        <v>999</v>
      </c>
      <c r="J48" s="5">
        <f>IFERROR(VLOOKUP(U14MMWruns[[#This Row],[Card]],results0125[],4,FALSE),999)</f>
        <v>27</v>
      </c>
      <c r="K48" s="5">
        <f>IFERROR(VLOOKUP(U14MMWruns[[#This Row],[Card]],results0125[],5,FALSE),999)</f>
        <v>35</v>
      </c>
      <c r="L48" s="5">
        <f>IFERROR(VLOOKUP(U14MMWruns[[#This Row],[Card]],results0122[],3,FALSE),999)</f>
        <v>42</v>
      </c>
      <c r="M48" s="5">
        <f>VLOOKUP(U14MMWruns[[#This Row],[pos1.0124]],pointstable[],2,FALSE)</f>
        <v>27</v>
      </c>
      <c r="N48" s="5">
        <f>VLOOKUP(U14MMWruns[[#This Row],[POS2.0124]],pointstable[],2,FALSE)</f>
        <v>0</v>
      </c>
      <c r="O48" s="5">
        <f>VLOOKUP(U14MMWruns[[#This Row],[pos1.0140]],pointstable[],2,FALSE)</f>
        <v>30</v>
      </c>
      <c r="P48" s="5">
        <f>VLOOKUP(U14MMWruns[[#This Row],[pos2.0140]],pointstable[],2,FALSE)</f>
        <v>0</v>
      </c>
      <c r="Q48" s="5">
        <f>VLOOKUP(U14MMWruns[[#This Row],[pos1.0125]],pointstable[],2,FALSE)</f>
        <v>34</v>
      </c>
      <c r="R48" s="5">
        <f>VLOOKUP(U14MMWruns[[#This Row],[pos2.025]],pointstable[],2,FALSE)</f>
        <v>25</v>
      </c>
      <c r="S48" s="5">
        <f>VLOOKUP(U14MMWruns[[#This Row],[pos0122]],pointstable[],2,FALSE)</f>
        <v>18</v>
      </c>
    </row>
    <row r="49" spans="1:19" x14ac:dyDescent="0.25">
      <c r="A49">
        <v>80618</v>
      </c>
      <c r="B49" t="s">
        <v>123</v>
      </c>
      <c r="C49" t="s">
        <v>19</v>
      </c>
      <c r="D49">
        <v>4</v>
      </c>
      <c r="E49" s="5">
        <f>SUM(LARGE(M49:S49,{1,2,3,4,5}))</f>
        <v>132</v>
      </c>
      <c r="F49" s="5">
        <f>IFERROR(VLOOKUP(U14MMWruns[[#This Row],[Card]],results0124[],4,FALSE),999)</f>
        <v>16</v>
      </c>
      <c r="G49" s="5">
        <f>IFERROR(VLOOKUP(U14MMWruns[[#This Row],[Card]],results0124[],5,FALSE),999)</f>
        <v>39</v>
      </c>
      <c r="H49" s="5">
        <f>IFERROR(VLOOKUP(U14MMWruns[[#This Row],[Card]],results0140[],4,FALSE),999)</f>
        <v>999</v>
      </c>
      <c r="I49" s="5">
        <f>IFERROR(VLOOKUP(U14MMWruns[[#This Row],[Card]],results0140[],5,FALSE),999)</f>
        <v>999</v>
      </c>
      <c r="J49" s="5">
        <f>IFERROR(VLOOKUP(U14MMWruns[[#This Row],[Card]],results0125[],4,FALSE),999)</f>
        <v>42</v>
      </c>
      <c r="K49" s="5">
        <f>IFERROR(VLOOKUP(U14MMWruns[[#This Row],[Card]],results0125[],5,FALSE),999)</f>
        <v>52</v>
      </c>
      <c r="L49" s="5">
        <f>IFERROR(VLOOKUP(U14MMWruns[[#This Row],[Card]],results0122[],3,FALSE),999)</f>
        <v>50</v>
      </c>
      <c r="M49" s="5">
        <f>VLOOKUP(U14MMWruns[[#This Row],[pos1.0124]],pointstable[],2,FALSE)</f>
        <v>75</v>
      </c>
      <c r="N49" s="5">
        <f>VLOOKUP(U14MMWruns[[#This Row],[POS2.0124]],pointstable[],2,FALSE)</f>
        <v>21</v>
      </c>
      <c r="O49" s="5">
        <f>VLOOKUP(U14MMWruns[[#This Row],[pos1.0140]],pointstable[],2,FALSE)</f>
        <v>0</v>
      </c>
      <c r="P49" s="5">
        <f>VLOOKUP(U14MMWruns[[#This Row],[pos2.0140]],pointstable[],2,FALSE)</f>
        <v>0</v>
      </c>
      <c r="Q49" s="5">
        <f>VLOOKUP(U14MMWruns[[#This Row],[pos1.0125]],pointstable[],2,FALSE)</f>
        <v>18</v>
      </c>
      <c r="R49" s="5">
        <f>VLOOKUP(U14MMWruns[[#This Row],[pos2.025]],pointstable[],2,FALSE)</f>
        <v>8</v>
      </c>
      <c r="S49" s="5">
        <f>VLOOKUP(U14MMWruns[[#This Row],[pos0122]],pointstable[],2,FALSE)</f>
        <v>10</v>
      </c>
    </row>
    <row r="50" spans="1:19" x14ac:dyDescent="0.25">
      <c r="A50">
        <v>80718</v>
      </c>
      <c r="B50" t="s">
        <v>94</v>
      </c>
      <c r="C50" t="s">
        <v>22</v>
      </c>
      <c r="D50">
        <v>4</v>
      </c>
      <c r="E50" s="5">
        <f>SUM(LARGE(M50:S50,{1,2,3,4,5}))</f>
        <v>131</v>
      </c>
      <c r="F50" s="5">
        <f>IFERROR(VLOOKUP(U14MMWruns[[#This Row],[Card]],results0124[],4,FALSE),999)</f>
        <v>78</v>
      </c>
      <c r="G50" s="5">
        <f>IFERROR(VLOOKUP(U14MMWruns[[#This Row],[Card]],results0124[],5,FALSE),999)</f>
        <v>999</v>
      </c>
      <c r="H50" s="5">
        <f>IFERROR(VLOOKUP(U14MMWruns[[#This Row],[Card]],results0140[],4,FALSE),999)</f>
        <v>32</v>
      </c>
      <c r="I50" s="5">
        <f>IFERROR(VLOOKUP(U14MMWruns[[#This Row],[Card]],results0140[],5,FALSE),999)</f>
        <v>19</v>
      </c>
      <c r="J50" s="5">
        <f>IFERROR(VLOOKUP(U14MMWruns[[#This Row],[Card]],results0125[],4,FALSE),999)</f>
        <v>44</v>
      </c>
      <c r="K50" s="5">
        <f>IFERROR(VLOOKUP(U14MMWruns[[#This Row],[Card]],results0125[],5,FALSE),999)</f>
        <v>56</v>
      </c>
      <c r="L50" s="5">
        <f>IFERROR(VLOOKUP(U14MMWruns[[#This Row],[Card]],results0122[],3,FALSE),999)</f>
        <v>37</v>
      </c>
      <c r="M50" s="5">
        <f>VLOOKUP(U14MMWruns[[#This Row],[pos1.0124]],pointstable[],2,FALSE)</f>
        <v>0</v>
      </c>
      <c r="N50" s="5">
        <f>VLOOKUP(U14MMWruns[[#This Row],[POS2.0124]],pointstable[],2,FALSE)</f>
        <v>0</v>
      </c>
      <c r="O50" s="5">
        <f>VLOOKUP(U14MMWruns[[#This Row],[pos1.0140]],pointstable[],2,FALSE)</f>
        <v>28</v>
      </c>
      <c r="P50" s="5">
        <f>VLOOKUP(U14MMWruns[[#This Row],[pos2.0140]],pointstable[],2,FALSE)</f>
        <v>60</v>
      </c>
      <c r="Q50" s="5">
        <f>VLOOKUP(U14MMWruns[[#This Row],[pos1.0125]],pointstable[],2,FALSE)</f>
        <v>16</v>
      </c>
      <c r="R50" s="5">
        <f>VLOOKUP(U14MMWruns[[#This Row],[pos2.025]],pointstable[],2,FALSE)</f>
        <v>4</v>
      </c>
      <c r="S50" s="5">
        <f>VLOOKUP(U14MMWruns[[#This Row],[pos0122]],pointstable[],2,FALSE)</f>
        <v>23</v>
      </c>
    </row>
    <row r="51" spans="1:19" x14ac:dyDescent="0.25">
      <c r="A51">
        <v>80629</v>
      </c>
      <c r="B51" t="s">
        <v>144</v>
      </c>
      <c r="C51" t="s">
        <v>19</v>
      </c>
      <c r="D51">
        <v>5</v>
      </c>
      <c r="E51" s="5">
        <f>SUM(LARGE(M51:S51,{1,2,3,4,5}))</f>
        <v>130</v>
      </c>
      <c r="F51" s="5">
        <f>IFERROR(VLOOKUP(U14MMWruns[[#This Row],[Card]],results0124[],4,FALSE),999)</f>
        <v>34</v>
      </c>
      <c r="G51" s="5">
        <f>IFERROR(VLOOKUP(U14MMWruns[[#This Row],[Card]],results0124[],5,FALSE),999)</f>
        <v>32</v>
      </c>
      <c r="H51" s="5">
        <f>IFERROR(VLOOKUP(U14MMWruns[[#This Row],[Card]],results0140[],4,FALSE),999)</f>
        <v>999</v>
      </c>
      <c r="I51" s="5">
        <f>IFERROR(VLOOKUP(U14MMWruns[[#This Row],[Card]],results0140[],5,FALSE),999)</f>
        <v>29</v>
      </c>
      <c r="J51" s="5">
        <f>IFERROR(VLOOKUP(U14MMWruns[[#This Row],[Card]],results0125[],4,FALSE),999)</f>
        <v>43</v>
      </c>
      <c r="K51" s="5">
        <f>IFERROR(VLOOKUP(U14MMWruns[[#This Row],[Card]],results0125[],5,FALSE),999)</f>
        <v>32</v>
      </c>
      <c r="L51" s="5">
        <f>IFERROR(VLOOKUP(U14MMWruns[[#This Row],[Card]],results0122[],3,FALSE),999)</f>
        <v>61</v>
      </c>
      <c r="M51" s="5">
        <f>VLOOKUP(U14MMWruns[[#This Row],[pos1.0124]],pointstable[],2,FALSE)</f>
        <v>26</v>
      </c>
      <c r="N51" s="5">
        <f>VLOOKUP(U14MMWruns[[#This Row],[POS2.0124]],pointstable[],2,FALSE)</f>
        <v>28</v>
      </c>
      <c r="O51" s="5">
        <f>VLOOKUP(U14MMWruns[[#This Row],[pos1.0140]],pointstable[],2,FALSE)</f>
        <v>0</v>
      </c>
      <c r="P51" s="5">
        <f>VLOOKUP(U14MMWruns[[#This Row],[pos2.0140]],pointstable[],2,FALSE)</f>
        <v>31</v>
      </c>
      <c r="Q51" s="5">
        <f>VLOOKUP(U14MMWruns[[#This Row],[pos1.0125]],pointstable[],2,FALSE)</f>
        <v>17</v>
      </c>
      <c r="R51" s="5">
        <f>VLOOKUP(U14MMWruns[[#This Row],[pos2.025]],pointstable[],2,FALSE)</f>
        <v>28</v>
      </c>
      <c r="S51" s="5">
        <f>VLOOKUP(U14MMWruns[[#This Row],[pos0122]],pointstable[],2,FALSE)</f>
        <v>0</v>
      </c>
    </row>
    <row r="52" spans="1:19" x14ac:dyDescent="0.25">
      <c r="A52">
        <v>81705</v>
      </c>
      <c r="B52" t="s">
        <v>165</v>
      </c>
      <c r="C52" s="5" t="s">
        <v>31</v>
      </c>
      <c r="D52">
        <v>4</v>
      </c>
      <c r="E52" s="5">
        <f>SUM(LARGE(M52:S52,{1,2,3,4,5}))</f>
        <v>129</v>
      </c>
      <c r="F52" s="5">
        <f>IFERROR(VLOOKUP(U14MMWruns[[#This Row],[Card]],results0124[],4,FALSE),999)</f>
        <v>41</v>
      </c>
      <c r="G52" s="5">
        <f>IFERROR(VLOOKUP(U14MMWruns[[#This Row],[Card]],results0124[],5,FALSE),999)</f>
        <v>35</v>
      </c>
      <c r="H52" s="5">
        <f>IFERROR(VLOOKUP(U14MMWruns[[#This Row],[Card]],results0140[],4,FALSE),999)</f>
        <v>999</v>
      </c>
      <c r="I52" s="5">
        <f>IFERROR(VLOOKUP(U14MMWruns[[#This Row],[Card]],results0140[],5,FALSE),999)</f>
        <v>26</v>
      </c>
      <c r="J52" s="5">
        <f>IFERROR(VLOOKUP(U14MMWruns[[#This Row],[Card]],results0125[],4,FALSE),999)</f>
        <v>35</v>
      </c>
      <c r="K52" s="5">
        <f>IFERROR(VLOOKUP(U14MMWruns[[#This Row],[Card]],results0125[],5,FALSE),999)</f>
        <v>36</v>
      </c>
      <c r="L52" s="5">
        <f>IFERROR(VLOOKUP(U14MMWruns[[#This Row],[Card]],results0122[],3,FALSE),999)</f>
        <v>71</v>
      </c>
      <c r="M52" s="5">
        <f>VLOOKUP(U14MMWruns[[#This Row],[pos1.0124]],pointstable[],2,FALSE)</f>
        <v>19</v>
      </c>
      <c r="N52" s="5">
        <f>VLOOKUP(U14MMWruns[[#This Row],[POS2.0124]],pointstable[],2,FALSE)</f>
        <v>25</v>
      </c>
      <c r="O52" s="5">
        <f>VLOOKUP(U14MMWruns[[#This Row],[pos1.0140]],pointstable[],2,FALSE)</f>
        <v>0</v>
      </c>
      <c r="P52" s="5">
        <f>VLOOKUP(U14MMWruns[[#This Row],[pos2.0140]],pointstable[],2,FALSE)</f>
        <v>36</v>
      </c>
      <c r="Q52" s="5">
        <f>VLOOKUP(U14MMWruns[[#This Row],[pos1.0125]],pointstable[],2,FALSE)</f>
        <v>25</v>
      </c>
      <c r="R52" s="5">
        <f>VLOOKUP(U14MMWruns[[#This Row],[pos2.025]],pointstable[],2,FALSE)</f>
        <v>24</v>
      </c>
      <c r="S52" s="5">
        <f>VLOOKUP(U14MMWruns[[#This Row],[pos0122]],pointstable[],2,FALSE)</f>
        <v>0</v>
      </c>
    </row>
    <row r="53" spans="1:19" x14ac:dyDescent="0.25">
      <c r="A53">
        <v>81879</v>
      </c>
      <c r="B53" t="s">
        <v>146</v>
      </c>
      <c r="C53" t="s">
        <v>22</v>
      </c>
      <c r="D53">
        <v>5</v>
      </c>
      <c r="E53" s="5">
        <f>SUM(LARGE(M53:S53,{1,2,3,4,5}))</f>
        <v>125</v>
      </c>
      <c r="F53" s="5">
        <f>IFERROR(VLOOKUP(U14MMWruns[[#This Row],[Card]],results0124[],4,FALSE),999)</f>
        <v>53</v>
      </c>
      <c r="G53" s="5">
        <f>IFERROR(VLOOKUP(U14MMWruns[[#This Row],[Card]],results0124[],5,FALSE),999)</f>
        <v>31</v>
      </c>
      <c r="H53" s="5">
        <f>IFERROR(VLOOKUP(U14MMWruns[[#This Row],[Card]],results0140[],4,FALSE),999)</f>
        <v>37</v>
      </c>
      <c r="I53" s="5">
        <f>IFERROR(VLOOKUP(U14MMWruns[[#This Row],[Card]],results0140[],5,FALSE),999)</f>
        <v>20</v>
      </c>
      <c r="J53" s="5">
        <f>IFERROR(VLOOKUP(U14MMWruns[[#This Row],[Card]],results0125[],4,FALSE),999)</f>
        <v>91</v>
      </c>
      <c r="K53" s="5">
        <f>IFERROR(VLOOKUP(U14MMWruns[[#This Row],[Card]],results0125[],5,FALSE),999)</f>
        <v>49</v>
      </c>
      <c r="L53" s="5">
        <f>IFERROR(VLOOKUP(U14MMWruns[[#This Row],[Card]],results0122[],3,FALSE),999)</f>
        <v>62</v>
      </c>
      <c r="M53" s="5">
        <f>VLOOKUP(U14MMWruns[[#This Row],[pos1.0124]],pointstable[],2,FALSE)</f>
        <v>7</v>
      </c>
      <c r="N53" s="5">
        <f>VLOOKUP(U14MMWruns[[#This Row],[POS2.0124]],pointstable[],2,FALSE)</f>
        <v>29</v>
      </c>
      <c r="O53" s="5">
        <f>VLOOKUP(U14MMWruns[[#This Row],[pos1.0140]],pointstable[],2,FALSE)</f>
        <v>23</v>
      </c>
      <c r="P53" s="5">
        <f>VLOOKUP(U14MMWruns[[#This Row],[pos2.0140]],pointstable[],2,FALSE)</f>
        <v>55</v>
      </c>
      <c r="Q53" s="5">
        <f>VLOOKUP(U14MMWruns[[#This Row],[pos1.0125]],pointstable[],2,FALSE)</f>
        <v>0</v>
      </c>
      <c r="R53" s="5">
        <f>VLOOKUP(U14MMWruns[[#This Row],[pos2.025]],pointstable[],2,FALSE)</f>
        <v>11</v>
      </c>
      <c r="S53" s="5">
        <f>VLOOKUP(U14MMWruns[[#This Row],[pos0122]],pointstable[],2,FALSE)</f>
        <v>0</v>
      </c>
    </row>
    <row r="54" spans="1:19" x14ac:dyDescent="0.25">
      <c r="A54">
        <v>86113</v>
      </c>
      <c r="B54" t="s">
        <v>142</v>
      </c>
      <c r="C54" t="s">
        <v>101</v>
      </c>
      <c r="D54">
        <v>5</v>
      </c>
      <c r="E54" s="5">
        <f>SUM(LARGE(M54:S54,{1,2,3,4,5}))</f>
        <v>123</v>
      </c>
      <c r="F54" s="5">
        <f>IFERROR(VLOOKUP(U14MMWruns[[#This Row],[Card]],results0124[],4,FALSE),999)</f>
        <v>46</v>
      </c>
      <c r="G54" s="5">
        <f>IFERROR(VLOOKUP(U14MMWruns[[#This Row],[Card]],results0124[],5,FALSE),999)</f>
        <v>42</v>
      </c>
      <c r="H54" s="5">
        <f>IFERROR(VLOOKUP(U14MMWruns[[#This Row],[Card]],results0140[],4,FALSE),999)</f>
        <v>25</v>
      </c>
      <c r="I54" s="5">
        <f>IFERROR(VLOOKUP(U14MMWruns[[#This Row],[Card]],results0140[],5,FALSE),999)</f>
        <v>999</v>
      </c>
      <c r="J54" s="5">
        <f>IFERROR(VLOOKUP(U14MMWruns[[#This Row],[Card]],results0125[],4,FALSE),999)</f>
        <v>33</v>
      </c>
      <c r="K54" s="5">
        <f>IFERROR(VLOOKUP(U14MMWruns[[#This Row],[Card]],results0125[],5,FALSE),999)</f>
        <v>34</v>
      </c>
      <c r="L54" s="5">
        <f>IFERROR(VLOOKUP(U14MMWruns[[#This Row],[Card]],results0122[],3,FALSE),999)</f>
        <v>60</v>
      </c>
      <c r="M54" s="5">
        <f>VLOOKUP(U14MMWruns[[#This Row],[pos1.0124]],pointstable[],2,FALSE)</f>
        <v>14</v>
      </c>
      <c r="N54" s="5">
        <f>VLOOKUP(U14MMWruns[[#This Row],[POS2.0124]],pointstable[],2,FALSE)</f>
        <v>18</v>
      </c>
      <c r="O54" s="5">
        <f>VLOOKUP(U14MMWruns[[#This Row],[pos1.0140]],pointstable[],2,FALSE)</f>
        <v>38</v>
      </c>
      <c r="P54" s="5">
        <f>VLOOKUP(U14MMWruns[[#This Row],[pos2.0140]],pointstable[],2,FALSE)</f>
        <v>0</v>
      </c>
      <c r="Q54" s="5">
        <f>VLOOKUP(U14MMWruns[[#This Row],[pos1.0125]],pointstable[],2,FALSE)</f>
        <v>27</v>
      </c>
      <c r="R54" s="5">
        <f>VLOOKUP(U14MMWruns[[#This Row],[pos2.025]],pointstable[],2,FALSE)</f>
        <v>26</v>
      </c>
      <c r="S54" s="5">
        <f>VLOOKUP(U14MMWruns[[#This Row],[pos0122]],pointstable[],2,FALSE)</f>
        <v>1</v>
      </c>
    </row>
    <row r="55" spans="1:19" x14ac:dyDescent="0.25">
      <c r="A55">
        <v>78680</v>
      </c>
      <c r="B55" t="s">
        <v>127</v>
      </c>
      <c r="C55" t="s">
        <v>22</v>
      </c>
      <c r="D55">
        <v>5</v>
      </c>
      <c r="E55" s="5">
        <f>SUM(LARGE(M55:S55,{1,2,3,4,5}))</f>
        <v>123</v>
      </c>
      <c r="F55" s="5">
        <f>IFERROR(VLOOKUP(U14MMWruns[[#This Row],[Card]],results0124[],4,FALSE),999)</f>
        <v>59</v>
      </c>
      <c r="G55" s="5">
        <f>IFERROR(VLOOKUP(U14MMWruns[[#This Row],[Card]],results0124[],5,FALSE),999)</f>
        <v>53</v>
      </c>
      <c r="H55" s="5">
        <f>IFERROR(VLOOKUP(U14MMWruns[[#This Row],[Card]],results0140[],4,FALSE),999)</f>
        <v>17</v>
      </c>
      <c r="I55" s="5">
        <f>IFERROR(VLOOKUP(U14MMWruns[[#This Row],[Card]],results0140[],5,FALSE),999)</f>
        <v>999</v>
      </c>
      <c r="J55" s="5">
        <f>IFERROR(VLOOKUP(U14MMWruns[[#This Row],[Card]],results0125[],4,FALSE),999)</f>
        <v>36</v>
      </c>
      <c r="K55" s="5">
        <f>IFERROR(VLOOKUP(U14MMWruns[[#This Row],[Card]],results0125[],5,FALSE),999)</f>
        <v>46</v>
      </c>
      <c r="L55" s="5">
        <f>IFERROR(VLOOKUP(U14MMWruns[[#This Row],[Card]],results0122[],3,FALSE),999)</f>
        <v>52</v>
      </c>
      <c r="M55" s="5">
        <f>VLOOKUP(U14MMWruns[[#This Row],[pos1.0124]],pointstable[],2,FALSE)</f>
        <v>1</v>
      </c>
      <c r="N55" s="5">
        <f>VLOOKUP(U14MMWruns[[#This Row],[POS2.0124]],pointstable[],2,FALSE)</f>
        <v>7</v>
      </c>
      <c r="O55" s="5">
        <f>VLOOKUP(U14MMWruns[[#This Row],[pos1.0140]],pointstable[],2,FALSE)</f>
        <v>70</v>
      </c>
      <c r="P55" s="5">
        <f>VLOOKUP(U14MMWruns[[#This Row],[pos2.0140]],pointstable[],2,FALSE)</f>
        <v>0</v>
      </c>
      <c r="Q55" s="5">
        <f>VLOOKUP(U14MMWruns[[#This Row],[pos1.0125]],pointstable[],2,FALSE)</f>
        <v>24</v>
      </c>
      <c r="R55" s="5">
        <f>VLOOKUP(U14MMWruns[[#This Row],[pos2.025]],pointstable[],2,FALSE)</f>
        <v>14</v>
      </c>
      <c r="S55" s="5">
        <f>VLOOKUP(U14MMWruns[[#This Row],[pos0122]],pointstable[],2,FALSE)</f>
        <v>8</v>
      </c>
    </row>
    <row r="56" spans="1:19" x14ac:dyDescent="0.25">
      <c r="A56">
        <v>78398</v>
      </c>
      <c r="B56" t="s">
        <v>156</v>
      </c>
      <c r="C56" t="s">
        <v>19</v>
      </c>
      <c r="D56">
        <v>4</v>
      </c>
      <c r="E56" s="5">
        <f>SUM(LARGE(M56:S56,{1,2,3,4,5}))</f>
        <v>95</v>
      </c>
      <c r="F56" s="5">
        <f>IFERROR(VLOOKUP(U14MMWruns[[#This Row],[Card]],results0124[],4,FALSE),999)</f>
        <v>40</v>
      </c>
      <c r="G56" s="5">
        <f>IFERROR(VLOOKUP(U14MMWruns[[#This Row],[Card]],results0124[],5,FALSE),999)</f>
        <v>35</v>
      </c>
      <c r="H56" s="5">
        <f>IFERROR(VLOOKUP(U14MMWruns[[#This Row],[Card]],results0140[],4,FALSE),999)</f>
        <v>999</v>
      </c>
      <c r="I56" s="5">
        <f>IFERROR(VLOOKUP(U14MMWruns[[#This Row],[Card]],results0140[],5,FALSE),999)</f>
        <v>32</v>
      </c>
      <c r="J56" s="5">
        <f>IFERROR(VLOOKUP(U14MMWruns[[#This Row],[Card]],results0125[],4,FALSE),999)</f>
        <v>45</v>
      </c>
      <c r="K56" s="5">
        <f>IFERROR(VLOOKUP(U14MMWruns[[#This Row],[Card]],results0125[],5,FALSE),999)</f>
        <v>53</v>
      </c>
      <c r="L56" s="5">
        <f>IFERROR(VLOOKUP(U14MMWruns[[#This Row],[Card]],results0122[],3,FALSE),999)</f>
        <v>67</v>
      </c>
      <c r="M56" s="5">
        <f>VLOOKUP(U14MMWruns[[#This Row],[pos1.0124]],pointstable[],2,FALSE)</f>
        <v>20</v>
      </c>
      <c r="N56" s="5">
        <f>VLOOKUP(U14MMWruns[[#This Row],[POS2.0124]],pointstable[],2,FALSE)</f>
        <v>25</v>
      </c>
      <c r="O56" s="5">
        <f>VLOOKUP(U14MMWruns[[#This Row],[pos1.0140]],pointstable[],2,FALSE)</f>
        <v>0</v>
      </c>
      <c r="P56" s="5">
        <f>VLOOKUP(U14MMWruns[[#This Row],[pos2.0140]],pointstable[],2,FALSE)</f>
        <v>28</v>
      </c>
      <c r="Q56" s="5">
        <f>VLOOKUP(U14MMWruns[[#This Row],[pos1.0125]],pointstable[],2,FALSE)</f>
        <v>15</v>
      </c>
      <c r="R56" s="5">
        <f>VLOOKUP(U14MMWruns[[#This Row],[pos2.025]],pointstable[],2,FALSE)</f>
        <v>7</v>
      </c>
      <c r="S56" s="5">
        <f>VLOOKUP(U14MMWruns[[#This Row],[pos0122]],pointstable[],2,FALSE)</f>
        <v>0</v>
      </c>
    </row>
    <row r="57" spans="1:19" x14ac:dyDescent="0.25">
      <c r="A57">
        <v>81459</v>
      </c>
      <c r="B57" t="s">
        <v>225</v>
      </c>
      <c r="C57" t="s">
        <v>101</v>
      </c>
      <c r="D57">
        <v>5</v>
      </c>
      <c r="E57" s="5">
        <f>SUM(LARGE(M57:S57,{1,2,3,4,5}))</f>
        <v>94</v>
      </c>
      <c r="F57" s="5">
        <f>IFERROR(VLOOKUP(U14MMWruns[[#This Row],[Card]],results0124[],4,FALSE),999)</f>
        <v>54</v>
      </c>
      <c r="G57" s="5">
        <f>IFERROR(VLOOKUP(U14MMWruns[[#This Row],[Card]],results0124[],5,FALSE),999)</f>
        <v>34</v>
      </c>
      <c r="H57" s="5">
        <f>IFERROR(VLOOKUP(U14MMWruns[[#This Row],[Card]],results0140[],4,FALSE),999)</f>
        <v>999</v>
      </c>
      <c r="I57" s="5">
        <f>IFERROR(VLOOKUP(U14MMWruns[[#This Row],[Card]],results0140[],5,FALSE),999)</f>
        <v>999</v>
      </c>
      <c r="J57" s="5">
        <f>IFERROR(VLOOKUP(U14MMWruns[[#This Row],[Card]],results0125[],4,FALSE),999)</f>
        <v>49</v>
      </c>
      <c r="K57" s="5">
        <f>IFERROR(VLOOKUP(U14MMWruns[[#This Row],[Card]],results0125[],5,FALSE),999)</f>
        <v>21</v>
      </c>
      <c r="L57" s="5">
        <f>IFERROR(VLOOKUP(U14MMWruns[[#This Row],[Card]],results0122[],3,FALSE),999)</f>
        <v>999</v>
      </c>
      <c r="M57" s="5">
        <f>VLOOKUP(U14MMWruns[[#This Row],[pos1.0124]],pointstable[],2,FALSE)</f>
        <v>6</v>
      </c>
      <c r="N57" s="5">
        <f>VLOOKUP(U14MMWruns[[#This Row],[POS2.0124]],pointstable[],2,FALSE)</f>
        <v>26</v>
      </c>
      <c r="O57" s="5">
        <f>VLOOKUP(U14MMWruns[[#This Row],[pos1.0140]],pointstable[],2,FALSE)</f>
        <v>0</v>
      </c>
      <c r="P57" s="5">
        <f>VLOOKUP(U14MMWruns[[#This Row],[pos2.0140]],pointstable[],2,FALSE)</f>
        <v>0</v>
      </c>
      <c r="Q57" s="5">
        <f>VLOOKUP(U14MMWruns[[#This Row],[pos1.0125]],pointstable[],2,FALSE)</f>
        <v>11</v>
      </c>
      <c r="R57" s="5">
        <f>VLOOKUP(U14MMWruns[[#This Row],[pos2.025]],pointstable[],2,FALSE)</f>
        <v>51</v>
      </c>
      <c r="S57" s="5">
        <f>VLOOKUP(U14MMWruns[[#This Row],[pos0122]],pointstable[],2,FALSE)</f>
        <v>0</v>
      </c>
    </row>
    <row r="58" spans="1:19" x14ac:dyDescent="0.25">
      <c r="A58">
        <v>86143</v>
      </c>
      <c r="B58" t="s">
        <v>125</v>
      </c>
      <c r="C58" t="s">
        <v>42</v>
      </c>
      <c r="D58">
        <v>4</v>
      </c>
      <c r="E58" s="5">
        <f>SUM(LARGE(M58:S58,{1,2,3,4,5}))</f>
        <v>94</v>
      </c>
      <c r="F58" s="5">
        <f>IFERROR(VLOOKUP(U14MMWruns[[#This Row],[Card]],results0124[],4,FALSE),999)</f>
        <v>52</v>
      </c>
      <c r="G58" s="5">
        <f>IFERROR(VLOOKUP(U14MMWruns[[#This Row],[Card]],results0124[],5,FALSE),999)</f>
        <v>62</v>
      </c>
      <c r="H58" s="5">
        <f>IFERROR(VLOOKUP(U14MMWruns[[#This Row],[Card]],results0140[],4,FALSE),999)</f>
        <v>20</v>
      </c>
      <c r="I58" s="5">
        <f>IFERROR(VLOOKUP(U14MMWruns[[#This Row],[Card]],results0140[],5,FALSE),999)</f>
        <v>999</v>
      </c>
      <c r="J58" s="5">
        <f>IFERROR(VLOOKUP(U14MMWruns[[#This Row],[Card]],results0125[],4,FALSE),999)</f>
        <v>999</v>
      </c>
      <c r="K58" s="5">
        <f>IFERROR(VLOOKUP(U14MMWruns[[#This Row],[Card]],results0125[],5,FALSE),999)</f>
        <v>38</v>
      </c>
      <c r="L58" s="5">
        <f>IFERROR(VLOOKUP(U14MMWruns[[#This Row],[Card]],results0122[],3,FALSE),999)</f>
        <v>51</v>
      </c>
      <c r="M58" s="5">
        <f>VLOOKUP(U14MMWruns[[#This Row],[pos1.0124]],pointstable[],2,FALSE)</f>
        <v>8</v>
      </c>
      <c r="N58" s="5">
        <f>VLOOKUP(U14MMWruns[[#This Row],[POS2.0124]],pointstable[],2,FALSE)</f>
        <v>0</v>
      </c>
      <c r="O58" s="5">
        <f>VLOOKUP(U14MMWruns[[#This Row],[pos1.0140]],pointstable[],2,FALSE)</f>
        <v>55</v>
      </c>
      <c r="P58" s="5">
        <f>VLOOKUP(U14MMWruns[[#This Row],[pos2.0140]],pointstable[],2,FALSE)</f>
        <v>0</v>
      </c>
      <c r="Q58" s="5">
        <f>VLOOKUP(U14MMWruns[[#This Row],[pos1.0125]],pointstable[],2,FALSE)</f>
        <v>0</v>
      </c>
      <c r="R58" s="5">
        <f>VLOOKUP(U14MMWruns[[#This Row],[pos2.025]],pointstable[],2,FALSE)</f>
        <v>22</v>
      </c>
      <c r="S58" s="5">
        <f>VLOOKUP(U14MMWruns[[#This Row],[pos0122]],pointstable[],2,FALSE)</f>
        <v>9</v>
      </c>
    </row>
    <row r="59" spans="1:19" x14ac:dyDescent="0.25">
      <c r="A59">
        <v>80714</v>
      </c>
      <c r="B59" t="s">
        <v>152</v>
      </c>
      <c r="C59" t="s">
        <v>22</v>
      </c>
      <c r="D59">
        <v>5</v>
      </c>
      <c r="E59" s="5">
        <f>SUM(LARGE(M59:S59,{1,2,3,4,5}))</f>
        <v>90</v>
      </c>
      <c r="F59" s="5">
        <f>IFERROR(VLOOKUP(U14MMWruns[[#This Row],[Card]],results0124[],4,FALSE),999)</f>
        <v>73</v>
      </c>
      <c r="G59" s="5">
        <f>IFERROR(VLOOKUP(U14MMWruns[[#This Row],[Card]],results0124[],5,FALSE),999)</f>
        <v>70</v>
      </c>
      <c r="H59" s="5">
        <f>IFERROR(VLOOKUP(U14MMWruns[[#This Row],[Card]],results0140[],4,FALSE),999)</f>
        <v>35</v>
      </c>
      <c r="I59" s="5">
        <f>IFERROR(VLOOKUP(U14MMWruns[[#This Row],[Card]],results0140[],5,FALSE),999)</f>
        <v>21</v>
      </c>
      <c r="J59" s="5">
        <f>IFERROR(VLOOKUP(U14MMWruns[[#This Row],[Card]],results0125[],4,FALSE),999)</f>
        <v>51</v>
      </c>
      <c r="K59" s="5">
        <f>IFERROR(VLOOKUP(U14MMWruns[[#This Row],[Card]],results0125[],5,FALSE),999)</f>
        <v>55</v>
      </c>
      <c r="L59" s="5">
        <f>IFERROR(VLOOKUP(U14MMWruns[[#This Row],[Card]],results0122[],3,FALSE),999)</f>
        <v>65</v>
      </c>
      <c r="M59" s="5">
        <f>VLOOKUP(U14MMWruns[[#This Row],[pos1.0124]],pointstable[],2,FALSE)</f>
        <v>0</v>
      </c>
      <c r="N59" s="5">
        <f>VLOOKUP(U14MMWruns[[#This Row],[POS2.0124]],pointstable[],2,FALSE)</f>
        <v>0</v>
      </c>
      <c r="O59" s="5">
        <f>VLOOKUP(U14MMWruns[[#This Row],[pos1.0140]],pointstable[],2,FALSE)</f>
        <v>25</v>
      </c>
      <c r="P59" s="5">
        <f>VLOOKUP(U14MMWruns[[#This Row],[pos2.0140]],pointstable[],2,FALSE)</f>
        <v>51</v>
      </c>
      <c r="Q59" s="5">
        <f>VLOOKUP(U14MMWruns[[#This Row],[pos1.0125]],pointstable[],2,FALSE)</f>
        <v>9</v>
      </c>
      <c r="R59" s="5">
        <f>VLOOKUP(U14MMWruns[[#This Row],[pos2.025]],pointstable[],2,FALSE)</f>
        <v>5</v>
      </c>
      <c r="S59" s="5">
        <f>VLOOKUP(U14MMWruns[[#This Row],[pos0122]],pointstable[],2,FALSE)</f>
        <v>0</v>
      </c>
    </row>
    <row r="60" spans="1:19" x14ac:dyDescent="0.25">
      <c r="A60">
        <v>76572</v>
      </c>
      <c r="B60" t="s">
        <v>109</v>
      </c>
      <c r="C60" t="s">
        <v>38</v>
      </c>
      <c r="D60">
        <v>4</v>
      </c>
      <c r="E60" s="5">
        <f>SUM(LARGE(M60:S60,{1,2,3,4,5}))</f>
        <v>85</v>
      </c>
      <c r="F60" s="5">
        <f>IFERROR(VLOOKUP(U14MMWruns[[#This Row],[Card]],results0124[],4,FALSE),999)</f>
        <v>35</v>
      </c>
      <c r="G60" s="5">
        <f>IFERROR(VLOOKUP(U14MMWruns[[#This Row],[Card]],results0124[],5,FALSE),999)</f>
        <v>76</v>
      </c>
      <c r="H60" s="5">
        <f>IFERROR(VLOOKUP(U14MMWruns[[#This Row],[Card]],results0140[],4,FALSE),999)</f>
        <v>999</v>
      </c>
      <c r="I60" s="5">
        <f>IFERROR(VLOOKUP(U14MMWruns[[#This Row],[Card]],results0140[],5,FALSE),999)</f>
        <v>35</v>
      </c>
      <c r="J60" s="5">
        <f>IFERROR(VLOOKUP(U14MMWruns[[#This Row],[Card]],results0125[],4,FALSE),999)</f>
        <v>41</v>
      </c>
      <c r="K60" s="5">
        <f>IFERROR(VLOOKUP(U14MMWruns[[#This Row],[Card]],results0125[],5,FALSE),999)</f>
        <v>61</v>
      </c>
      <c r="L60" s="5">
        <f>IFERROR(VLOOKUP(U14MMWruns[[#This Row],[Card]],results0122[],3,FALSE),999)</f>
        <v>44</v>
      </c>
      <c r="M60" s="5">
        <f>VLOOKUP(U14MMWruns[[#This Row],[pos1.0124]],pointstable[],2,FALSE)</f>
        <v>25</v>
      </c>
      <c r="N60" s="5">
        <f>VLOOKUP(U14MMWruns[[#This Row],[POS2.0124]],pointstable[],2,FALSE)</f>
        <v>0</v>
      </c>
      <c r="O60" s="5">
        <f>VLOOKUP(U14MMWruns[[#This Row],[pos1.0140]],pointstable[],2,FALSE)</f>
        <v>0</v>
      </c>
      <c r="P60" s="5">
        <f>VLOOKUP(U14MMWruns[[#This Row],[pos2.0140]],pointstable[],2,FALSE)</f>
        <v>25</v>
      </c>
      <c r="Q60" s="5">
        <f>VLOOKUP(U14MMWruns[[#This Row],[pos1.0125]],pointstable[],2,FALSE)</f>
        <v>19</v>
      </c>
      <c r="R60" s="5">
        <f>VLOOKUP(U14MMWruns[[#This Row],[pos2.025]],pointstable[],2,FALSE)</f>
        <v>0</v>
      </c>
      <c r="S60" s="5">
        <f>VLOOKUP(U14MMWruns[[#This Row],[pos0122]],pointstable[],2,FALSE)</f>
        <v>16</v>
      </c>
    </row>
    <row r="61" spans="1:19" x14ac:dyDescent="0.25">
      <c r="A61">
        <v>84752</v>
      </c>
      <c r="B61" t="s">
        <v>140</v>
      </c>
      <c r="C61" t="s">
        <v>15</v>
      </c>
      <c r="D61">
        <v>5</v>
      </c>
      <c r="E61" s="5">
        <f>SUM(LARGE(M61:S61,{1,2,3,4,5}))</f>
        <v>83</v>
      </c>
      <c r="F61" s="5">
        <f>IFERROR(VLOOKUP(U14MMWruns[[#This Row],[Card]],results0124[],4,FALSE),999)</f>
        <v>56</v>
      </c>
      <c r="G61" s="5">
        <f>IFERROR(VLOOKUP(U14MMWruns[[#This Row],[Card]],results0124[],5,FALSE),999)</f>
        <v>50</v>
      </c>
      <c r="H61" s="5">
        <f>IFERROR(VLOOKUP(U14MMWruns[[#This Row],[Card]],results0140[],4,FALSE),999)</f>
        <v>39</v>
      </c>
      <c r="I61" s="5">
        <f>IFERROR(VLOOKUP(U14MMWruns[[#This Row],[Card]],results0140[],5,FALSE),999)</f>
        <v>30</v>
      </c>
      <c r="J61" s="5">
        <f>IFERROR(VLOOKUP(U14MMWruns[[#This Row],[Card]],results0125[],4,FALSE),999)</f>
        <v>999</v>
      </c>
      <c r="K61" s="5">
        <f>IFERROR(VLOOKUP(U14MMWruns[[#This Row],[Card]],results0125[],5,FALSE),999)</f>
        <v>42</v>
      </c>
      <c r="L61" s="5">
        <f>IFERROR(VLOOKUP(U14MMWruns[[#This Row],[Card]],results0122[],3,FALSE),999)</f>
        <v>59</v>
      </c>
      <c r="M61" s="5">
        <f>VLOOKUP(U14MMWruns[[#This Row],[pos1.0124]],pointstable[],2,FALSE)</f>
        <v>4</v>
      </c>
      <c r="N61" s="5">
        <f>VLOOKUP(U14MMWruns[[#This Row],[POS2.0124]],pointstable[],2,FALSE)</f>
        <v>10</v>
      </c>
      <c r="O61" s="5">
        <f>VLOOKUP(U14MMWruns[[#This Row],[pos1.0140]],pointstable[],2,FALSE)</f>
        <v>21</v>
      </c>
      <c r="P61" s="5">
        <f>VLOOKUP(U14MMWruns[[#This Row],[pos2.0140]],pointstable[],2,FALSE)</f>
        <v>30</v>
      </c>
      <c r="Q61" s="5">
        <f>VLOOKUP(U14MMWruns[[#This Row],[pos1.0125]],pointstable[],2,FALSE)</f>
        <v>0</v>
      </c>
      <c r="R61" s="5">
        <f>VLOOKUP(U14MMWruns[[#This Row],[pos2.025]],pointstable[],2,FALSE)</f>
        <v>18</v>
      </c>
      <c r="S61" s="5">
        <f>VLOOKUP(U14MMWruns[[#This Row],[pos0122]],pointstable[],2,FALSE)</f>
        <v>1</v>
      </c>
    </row>
    <row r="62" spans="1:19" x14ac:dyDescent="0.25">
      <c r="A62">
        <v>80824</v>
      </c>
      <c r="B62" t="s">
        <v>80</v>
      </c>
      <c r="C62" t="s">
        <v>54</v>
      </c>
      <c r="D62">
        <v>4</v>
      </c>
      <c r="E62" s="5">
        <f>SUM(LARGE(M62:S62,{1,2,3,4,5}))</f>
        <v>83</v>
      </c>
      <c r="F62" s="5">
        <f>IFERROR(VLOOKUP(U14MMWruns[[#This Row],[Card]],results0124[],4,FALSE),999)</f>
        <v>30</v>
      </c>
      <c r="G62" s="5">
        <f>IFERROR(VLOOKUP(U14MMWruns[[#This Row],[Card]],results0124[],5,FALSE),999)</f>
        <v>37</v>
      </c>
      <c r="H62" s="5">
        <f>IFERROR(VLOOKUP(U14MMWruns[[#This Row],[Card]],results0140[],4,FALSE),999)</f>
        <v>999</v>
      </c>
      <c r="I62" s="5">
        <f>IFERROR(VLOOKUP(U14MMWruns[[#This Row],[Card]],results0140[],5,FALSE),999)</f>
        <v>999</v>
      </c>
      <c r="J62" s="5">
        <f>IFERROR(VLOOKUP(U14MMWruns[[#This Row],[Card]],results0125[],4,FALSE),999)</f>
        <v>67</v>
      </c>
      <c r="K62" s="5">
        <f>IFERROR(VLOOKUP(U14MMWruns[[#This Row],[Card]],results0125[],5,FALSE),999)</f>
        <v>999</v>
      </c>
      <c r="L62" s="5">
        <f>IFERROR(VLOOKUP(U14MMWruns[[#This Row],[Card]],results0122[],3,FALSE),999)</f>
        <v>30</v>
      </c>
      <c r="M62" s="5">
        <f>VLOOKUP(U14MMWruns[[#This Row],[pos1.0124]],pointstable[],2,FALSE)</f>
        <v>30</v>
      </c>
      <c r="N62" s="5">
        <f>VLOOKUP(U14MMWruns[[#This Row],[POS2.0124]],pointstable[],2,FALSE)</f>
        <v>23</v>
      </c>
      <c r="O62" s="5">
        <f>VLOOKUP(U14MMWruns[[#This Row],[pos1.0140]],pointstable[],2,FALSE)</f>
        <v>0</v>
      </c>
      <c r="P62" s="5">
        <f>VLOOKUP(U14MMWruns[[#This Row],[pos2.0140]],pointstable[],2,FALSE)</f>
        <v>0</v>
      </c>
      <c r="Q62" s="5">
        <f>VLOOKUP(U14MMWruns[[#This Row],[pos1.0125]],pointstable[],2,FALSE)</f>
        <v>0</v>
      </c>
      <c r="R62" s="5">
        <f>VLOOKUP(U14MMWruns[[#This Row],[pos2.025]],pointstable[],2,FALSE)</f>
        <v>0</v>
      </c>
      <c r="S62" s="5">
        <f>VLOOKUP(U14MMWruns[[#This Row],[pos0122]],pointstable[],2,FALSE)</f>
        <v>30</v>
      </c>
    </row>
    <row r="63" spans="1:19" x14ac:dyDescent="0.25">
      <c r="A63">
        <v>76864</v>
      </c>
      <c r="B63" t="s">
        <v>107</v>
      </c>
      <c r="C63" t="s">
        <v>38</v>
      </c>
      <c r="D63">
        <v>4</v>
      </c>
      <c r="E63" s="5">
        <f>SUM(LARGE(M63:S63,{1,2,3,4,5}))</f>
        <v>82</v>
      </c>
      <c r="F63" s="5">
        <f>IFERROR(VLOOKUP(U14MMWruns[[#This Row],[Card]],results0124[],4,FALSE),999)</f>
        <v>999</v>
      </c>
      <c r="G63" s="5">
        <f>IFERROR(VLOOKUP(U14MMWruns[[#This Row],[Card]],results0124[],5,FALSE),999)</f>
        <v>44</v>
      </c>
      <c r="H63" s="5">
        <f>IFERROR(VLOOKUP(U14MMWruns[[#This Row],[Card]],results0140[],4,FALSE),999)</f>
        <v>999</v>
      </c>
      <c r="I63" s="5">
        <f>IFERROR(VLOOKUP(U14MMWruns[[#This Row],[Card]],results0140[],5,FALSE),999)</f>
        <v>33</v>
      </c>
      <c r="J63" s="5">
        <f>IFERROR(VLOOKUP(U14MMWruns[[#This Row],[Card]],results0125[],4,FALSE),999)</f>
        <v>39</v>
      </c>
      <c r="K63" s="5">
        <f>IFERROR(VLOOKUP(U14MMWruns[[#This Row],[Card]],results0125[],5,FALSE),999)</f>
        <v>59</v>
      </c>
      <c r="L63" s="5">
        <f>IFERROR(VLOOKUP(U14MMWruns[[#This Row],[Card]],results0122[],3,FALSE),999)</f>
        <v>43</v>
      </c>
      <c r="M63" s="5">
        <f>VLOOKUP(U14MMWruns[[#This Row],[pos1.0124]],pointstable[],2,FALSE)</f>
        <v>0</v>
      </c>
      <c r="N63" s="5">
        <f>VLOOKUP(U14MMWruns[[#This Row],[POS2.0124]],pointstable[],2,FALSE)</f>
        <v>16</v>
      </c>
      <c r="O63" s="5">
        <f>VLOOKUP(U14MMWruns[[#This Row],[pos1.0140]],pointstable[],2,FALSE)</f>
        <v>0</v>
      </c>
      <c r="P63" s="5">
        <f>VLOOKUP(U14MMWruns[[#This Row],[pos2.0140]],pointstable[],2,FALSE)</f>
        <v>27</v>
      </c>
      <c r="Q63" s="5">
        <f>VLOOKUP(U14MMWruns[[#This Row],[pos1.0125]],pointstable[],2,FALSE)</f>
        <v>21</v>
      </c>
      <c r="R63" s="5">
        <f>VLOOKUP(U14MMWruns[[#This Row],[pos2.025]],pointstable[],2,FALSE)</f>
        <v>1</v>
      </c>
      <c r="S63" s="5">
        <f>VLOOKUP(U14MMWruns[[#This Row],[pos0122]],pointstable[],2,FALSE)</f>
        <v>17</v>
      </c>
    </row>
    <row r="64" spans="1:19" x14ac:dyDescent="0.25">
      <c r="A64">
        <v>81481</v>
      </c>
      <c r="B64" t="s">
        <v>182</v>
      </c>
      <c r="C64" t="s">
        <v>31</v>
      </c>
      <c r="D64">
        <v>4</v>
      </c>
      <c r="E64" s="5">
        <f>SUM(LARGE(M64:S64,{1,2,3,4,5}))</f>
        <v>79</v>
      </c>
      <c r="F64" s="5">
        <f>IFERROR(VLOOKUP(U14MMWruns[[#This Row],[Card]],results0124[],4,FALSE),999)</f>
        <v>49</v>
      </c>
      <c r="G64" s="5">
        <f>IFERROR(VLOOKUP(U14MMWruns[[#This Row],[Card]],results0124[],5,FALSE),999)</f>
        <v>55</v>
      </c>
      <c r="H64" s="5">
        <f>IFERROR(VLOOKUP(U14MMWruns[[#This Row],[Card]],results0140[],4,FALSE),999)</f>
        <v>34</v>
      </c>
      <c r="I64" s="5">
        <f>IFERROR(VLOOKUP(U14MMWruns[[#This Row],[Card]],results0140[],5,FALSE),999)</f>
        <v>28</v>
      </c>
      <c r="J64" s="5">
        <f>IFERROR(VLOOKUP(U14MMWruns[[#This Row],[Card]],results0125[],4,FALSE),999)</f>
        <v>55</v>
      </c>
      <c r="K64" s="5">
        <f>IFERROR(VLOOKUP(U14MMWruns[[#This Row],[Card]],results0125[],5,FALSE),999)</f>
        <v>63</v>
      </c>
      <c r="L64" s="5">
        <f>IFERROR(VLOOKUP(U14MMWruns[[#This Row],[Card]],results0122[],3,FALSE),999)</f>
        <v>80</v>
      </c>
      <c r="M64" s="5">
        <f>VLOOKUP(U14MMWruns[[#This Row],[pos1.0124]],pointstable[],2,FALSE)</f>
        <v>11</v>
      </c>
      <c r="N64" s="5">
        <f>VLOOKUP(U14MMWruns[[#This Row],[POS2.0124]],pointstable[],2,FALSE)</f>
        <v>5</v>
      </c>
      <c r="O64" s="5">
        <f>VLOOKUP(U14MMWruns[[#This Row],[pos1.0140]],pointstable[],2,FALSE)</f>
        <v>26</v>
      </c>
      <c r="P64" s="5">
        <f>VLOOKUP(U14MMWruns[[#This Row],[pos2.0140]],pointstable[],2,FALSE)</f>
        <v>32</v>
      </c>
      <c r="Q64" s="5">
        <f>VLOOKUP(U14MMWruns[[#This Row],[pos1.0125]],pointstable[],2,FALSE)</f>
        <v>5</v>
      </c>
      <c r="R64" s="5">
        <f>VLOOKUP(U14MMWruns[[#This Row],[pos2.025]],pointstable[],2,FALSE)</f>
        <v>0</v>
      </c>
      <c r="S64" s="5">
        <f>VLOOKUP(U14MMWruns[[#This Row],[pos0122]],pointstable[],2,FALSE)</f>
        <v>0</v>
      </c>
    </row>
    <row r="65" spans="1:19" x14ac:dyDescent="0.25">
      <c r="A65">
        <v>80690</v>
      </c>
      <c r="B65" t="s">
        <v>148</v>
      </c>
      <c r="C65" t="s">
        <v>31</v>
      </c>
      <c r="D65">
        <v>5</v>
      </c>
      <c r="E65" s="5">
        <f>SUM(LARGE(M65:S65,{1,2,3,4,5}))</f>
        <v>75</v>
      </c>
      <c r="F65" s="5">
        <f>IFERROR(VLOOKUP(U14MMWruns[[#This Row],[Card]],results0124[],4,FALSE),999)</f>
        <v>42</v>
      </c>
      <c r="G65" s="5">
        <f>IFERROR(VLOOKUP(U14MMWruns[[#This Row],[Card]],results0124[],5,FALSE),999)</f>
        <v>999</v>
      </c>
      <c r="H65" s="5">
        <f>IFERROR(VLOOKUP(U14MMWruns[[#This Row],[Card]],results0140[],4,FALSE),999)</f>
        <v>36</v>
      </c>
      <c r="I65" s="5">
        <f>IFERROR(VLOOKUP(U14MMWruns[[#This Row],[Card]],results0140[],5,FALSE),999)</f>
        <v>999</v>
      </c>
      <c r="J65" s="5">
        <f>IFERROR(VLOOKUP(U14MMWruns[[#This Row],[Card]],results0125[],4,FALSE),999)</f>
        <v>46</v>
      </c>
      <c r="K65" s="5">
        <f>IFERROR(VLOOKUP(U14MMWruns[[#This Row],[Card]],results0125[],5,FALSE),999)</f>
        <v>41</v>
      </c>
      <c r="L65" s="5">
        <f>IFERROR(VLOOKUP(U14MMWruns[[#This Row],[Card]],results0122[],3,FALSE),999)</f>
        <v>63</v>
      </c>
      <c r="M65" s="5">
        <f>VLOOKUP(U14MMWruns[[#This Row],[pos1.0124]],pointstable[],2,FALSE)</f>
        <v>18</v>
      </c>
      <c r="N65" s="5">
        <f>VLOOKUP(U14MMWruns[[#This Row],[POS2.0124]],pointstable[],2,FALSE)</f>
        <v>0</v>
      </c>
      <c r="O65" s="5">
        <f>VLOOKUP(U14MMWruns[[#This Row],[pos1.0140]],pointstable[],2,FALSE)</f>
        <v>24</v>
      </c>
      <c r="P65" s="5">
        <f>VLOOKUP(U14MMWruns[[#This Row],[pos2.0140]],pointstable[],2,FALSE)</f>
        <v>0</v>
      </c>
      <c r="Q65" s="5">
        <f>VLOOKUP(U14MMWruns[[#This Row],[pos1.0125]],pointstable[],2,FALSE)</f>
        <v>14</v>
      </c>
      <c r="R65" s="5">
        <f>VLOOKUP(U14MMWruns[[#This Row],[pos2.025]],pointstable[],2,FALSE)</f>
        <v>19</v>
      </c>
      <c r="S65" s="5">
        <f>VLOOKUP(U14MMWruns[[#This Row],[pos0122]],pointstable[],2,FALSE)</f>
        <v>0</v>
      </c>
    </row>
    <row r="66" spans="1:19" x14ac:dyDescent="0.25">
      <c r="A66">
        <v>85772</v>
      </c>
      <c r="B66" t="s">
        <v>196</v>
      </c>
      <c r="C66" t="s">
        <v>15</v>
      </c>
      <c r="D66">
        <v>5</v>
      </c>
      <c r="E66" s="5">
        <f>SUM(LARGE(M66:S66,{1,2,3,4,5}))</f>
        <v>71</v>
      </c>
      <c r="F66" s="5">
        <f>IFERROR(VLOOKUP(U14MMWruns[[#This Row],[Card]],results0124[],4,FALSE),999)</f>
        <v>81</v>
      </c>
      <c r="G66" s="5">
        <f>IFERROR(VLOOKUP(U14MMWruns[[#This Row],[Card]],results0124[],5,FALSE),999)</f>
        <v>999</v>
      </c>
      <c r="H66" s="5">
        <f>IFERROR(VLOOKUP(U14MMWruns[[#This Row],[Card]],results0140[],4,FALSE),999)</f>
        <v>40</v>
      </c>
      <c r="I66" s="5">
        <f>IFERROR(VLOOKUP(U14MMWruns[[#This Row],[Card]],results0140[],5,FALSE),999)</f>
        <v>999</v>
      </c>
      <c r="J66" s="5">
        <f>IFERROR(VLOOKUP(U14MMWruns[[#This Row],[Card]],results0125[],4,FALSE),999)</f>
        <v>37</v>
      </c>
      <c r="K66" s="5">
        <f>IFERROR(VLOOKUP(U14MMWruns[[#This Row],[Card]],results0125[],5,FALSE),999)</f>
        <v>32</v>
      </c>
      <c r="L66" s="5">
        <f>IFERROR(VLOOKUP(U14MMWruns[[#This Row],[Card]],results0122[],3,FALSE),999)</f>
        <v>88</v>
      </c>
      <c r="M66" s="5">
        <f>VLOOKUP(U14MMWruns[[#This Row],[pos1.0124]],pointstable[],2,FALSE)</f>
        <v>0</v>
      </c>
      <c r="N66" s="5">
        <f>VLOOKUP(U14MMWruns[[#This Row],[POS2.0124]],pointstable[],2,FALSE)</f>
        <v>0</v>
      </c>
      <c r="O66" s="5">
        <f>VLOOKUP(U14MMWruns[[#This Row],[pos1.0140]],pointstable[],2,FALSE)</f>
        <v>20</v>
      </c>
      <c r="P66" s="5">
        <f>VLOOKUP(U14MMWruns[[#This Row],[pos2.0140]],pointstable[],2,FALSE)</f>
        <v>0</v>
      </c>
      <c r="Q66" s="5">
        <f>VLOOKUP(U14MMWruns[[#This Row],[pos1.0125]],pointstable[],2,FALSE)</f>
        <v>23</v>
      </c>
      <c r="R66" s="5">
        <f>VLOOKUP(U14MMWruns[[#This Row],[pos2.025]],pointstable[],2,FALSE)</f>
        <v>28</v>
      </c>
      <c r="S66" s="5">
        <f>VLOOKUP(U14MMWruns[[#This Row],[pos0122]],pointstable[],2,FALSE)</f>
        <v>0</v>
      </c>
    </row>
    <row r="67" spans="1:19" x14ac:dyDescent="0.25">
      <c r="A67" s="22">
        <v>81810</v>
      </c>
      <c r="B67" s="24" t="s">
        <v>329</v>
      </c>
      <c r="C67" s="24" t="s">
        <v>54</v>
      </c>
      <c r="D67" s="24">
        <v>4</v>
      </c>
      <c r="E67" s="5">
        <f>SUM(LARGE(M67:S67,{1,2,3,4,5}))</f>
        <v>68</v>
      </c>
      <c r="F67" s="5">
        <f>IFERROR(VLOOKUP(U14MMWruns[[#This Row],[Card]],results0124[],4,FALSE),999)</f>
        <v>62</v>
      </c>
      <c r="G67" s="5">
        <f>IFERROR(VLOOKUP(U14MMWruns[[#This Row],[Card]],results0124[],5,FALSE),999)</f>
        <v>999</v>
      </c>
      <c r="H67" s="5">
        <f>IFERROR(VLOOKUP(U14MMWruns[[#This Row],[Card]],results0140[],4,FALSE),999)</f>
        <v>33</v>
      </c>
      <c r="I67" s="5">
        <f>IFERROR(VLOOKUP(U14MMWruns[[#This Row],[Card]],results0140[],5,FALSE),999)</f>
        <v>24</v>
      </c>
      <c r="J67" s="5">
        <f>IFERROR(VLOOKUP(U14MMWruns[[#This Row],[Card]],results0125[],4,FALSE),999)</f>
        <v>65</v>
      </c>
      <c r="K67" s="5">
        <f>IFERROR(VLOOKUP(U14MMWruns[[#This Row],[Card]],results0125[],5,FALSE),999)</f>
        <v>64</v>
      </c>
      <c r="L67" s="5">
        <f>IFERROR(VLOOKUP(U14MMWruns[[#This Row],[Card]],results0122[],3,FALSE),999)</f>
        <v>999</v>
      </c>
      <c r="M67" s="5">
        <f>VLOOKUP(U14MMWruns[[#This Row],[pos1.0124]],pointstable[],2,FALSE)</f>
        <v>0</v>
      </c>
      <c r="N67" s="5">
        <f>VLOOKUP(U14MMWruns[[#This Row],[POS2.0124]],pointstable[],2,FALSE)</f>
        <v>0</v>
      </c>
      <c r="O67" s="5">
        <f>VLOOKUP(U14MMWruns[[#This Row],[pos1.0140]],pointstable[],2,FALSE)</f>
        <v>27</v>
      </c>
      <c r="P67" s="5">
        <f>VLOOKUP(U14MMWruns[[#This Row],[pos2.0140]],pointstable[],2,FALSE)</f>
        <v>41</v>
      </c>
      <c r="Q67" s="5">
        <f>VLOOKUP(U14MMWruns[[#This Row],[pos1.0125]],pointstable[],2,FALSE)</f>
        <v>0</v>
      </c>
      <c r="R67" s="5">
        <f>VLOOKUP(U14MMWruns[[#This Row],[pos2.025]],pointstable[],2,FALSE)</f>
        <v>0</v>
      </c>
      <c r="S67" s="5">
        <f>VLOOKUP(U14MMWruns[[#This Row],[pos0122]],pointstable[],2,FALSE)</f>
        <v>0</v>
      </c>
    </row>
    <row r="68" spans="1:19" x14ac:dyDescent="0.25">
      <c r="A68">
        <v>81322</v>
      </c>
      <c r="B68" t="s">
        <v>72</v>
      </c>
      <c r="C68" t="s">
        <v>22</v>
      </c>
      <c r="D68">
        <v>4</v>
      </c>
      <c r="E68" s="5">
        <f>SUM(LARGE(M68:S68,{1,2,3,4,5}))</f>
        <v>65</v>
      </c>
      <c r="F68" s="5">
        <f>IFERROR(VLOOKUP(U14MMWruns[[#This Row],[Card]],results0124[],4,FALSE),999)</f>
        <v>31</v>
      </c>
      <c r="G68" s="5">
        <f>IFERROR(VLOOKUP(U14MMWruns[[#This Row],[Card]],results0124[],5,FALSE),999)</f>
        <v>999</v>
      </c>
      <c r="H68" s="5">
        <f>IFERROR(VLOOKUP(U14MMWruns[[#This Row],[Card]],results0140[],4,FALSE),999)</f>
        <v>999</v>
      </c>
      <c r="I68" s="5">
        <f>IFERROR(VLOOKUP(U14MMWruns[[#This Row],[Card]],results0140[],5,FALSE),999)</f>
        <v>999</v>
      </c>
      <c r="J68" s="5">
        <f>IFERROR(VLOOKUP(U14MMWruns[[#This Row],[Card]],results0125[],4,FALSE),999)</f>
        <v>102</v>
      </c>
      <c r="K68" s="5">
        <f>IFERROR(VLOOKUP(U14MMWruns[[#This Row],[Card]],results0125[],5,FALSE),999)</f>
        <v>999</v>
      </c>
      <c r="L68" s="5">
        <f>IFERROR(VLOOKUP(U14MMWruns[[#This Row],[Card]],results0122[],3,FALSE),999)</f>
        <v>26</v>
      </c>
      <c r="M68" s="5">
        <f>VLOOKUP(U14MMWruns[[#This Row],[pos1.0124]],pointstable[],2,FALSE)</f>
        <v>29</v>
      </c>
      <c r="N68" s="5">
        <f>VLOOKUP(U14MMWruns[[#This Row],[POS2.0124]],pointstable[],2,FALSE)</f>
        <v>0</v>
      </c>
      <c r="O68" s="5">
        <f>VLOOKUP(U14MMWruns[[#This Row],[pos1.0140]],pointstable[],2,FALSE)</f>
        <v>0</v>
      </c>
      <c r="P68" s="5">
        <f>VLOOKUP(U14MMWruns[[#This Row],[pos2.0140]],pointstable[],2,FALSE)</f>
        <v>0</v>
      </c>
      <c r="Q68" s="5">
        <f>VLOOKUP(U14MMWruns[[#This Row],[pos1.0125]],pointstable[],2,FALSE)</f>
        <v>0</v>
      </c>
      <c r="R68" s="5">
        <f>VLOOKUP(U14MMWruns[[#This Row],[pos2.025]],pointstable[],2,FALSE)</f>
        <v>0</v>
      </c>
      <c r="S68" s="5">
        <f>VLOOKUP(U14MMWruns[[#This Row],[pos0122]],pointstable[],2,FALSE)</f>
        <v>36</v>
      </c>
    </row>
    <row r="69" spans="1:19" x14ac:dyDescent="0.25">
      <c r="A69">
        <v>82328</v>
      </c>
      <c r="B69" t="s">
        <v>137</v>
      </c>
      <c r="C69" t="s">
        <v>15</v>
      </c>
      <c r="D69">
        <v>4</v>
      </c>
      <c r="E69" s="5">
        <f>SUM(LARGE(M69:S69,{1,2,3,4,5}))</f>
        <v>61</v>
      </c>
      <c r="F69" s="5">
        <f>IFERROR(VLOOKUP(U14MMWruns[[#This Row],[Card]],results0124[],4,FALSE),999)</f>
        <v>48</v>
      </c>
      <c r="G69" s="5">
        <f>IFERROR(VLOOKUP(U14MMWruns[[#This Row],[Card]],results0124[],5,FALSE),999)</f>
        <v>37</v>
      </c>
      <c r="H69" s="5">
        <f>IFERROR(VLOOKUP(U14MMWruns[[#This Row],[Card]],results0140[],4,FALSE),999)</f>
        <v>999</v>
      </c>
      <c r="I69" s="5">
        <f>IFERROR(VLOOKUP(U14MMWruns[[#This Row],[Card]],results0140[],5,FALSE),999)</f>
        <v>999</v>
      </c>
      <c r="J69" s="5">
        <f>IFERROR(VLOOKUP(U14MMWruns[[#This Row],[Card]],results0125[],4,FALSE),999)</f>
        <v>38</v>
      </c>
      <c r="K69" s="5">
        <f>IFERROR(VLOOKUP(U14MMWruns[[#This Row],[Card]],results0125[],5,FALSE),999)</f>
        <v>61</v>
      </c>
      <c r="L69" s="5">
        <f>IFERROR(VLOOKUP(U14MMWruns[[#This Row],[Card]],results0122[],3,FALSE),999)</f>
        <v>56</v>
      </c>
      <c r="M69" s="5">
        <f>VLOOKUP(U14MMWruns[[#This Row],[pos1.0124]],pointstable[],2,FALSE)</f>
        <v>12</v>
      </c>
      <c r="N69" s="5">
        <f>VLOOKUP(U14MMWruns[[#This Row],[POS2.0124]],pointstable[],2,FALSE)</f>
        <v>23</v>
      </c>
      <c r="O69" s="5">
        <f>VLOOKUP(U14MMWruns[[#This Row],[pos1.0140]],pointstable[],2,FALSE)</f>
        <v>0</v>
      </c>
      <c r="P69" s="5">
        <f>VLOOKUP(U14MMWruns[[#This Row],[pos2.0140]],pointstable[],2,FALSE)</f>
        <v>0</v>
      </c>
      <c r="Q69" s="5">
        <f>VLOOKUP(U14MMWruns[[#This Row],[pos1.0125]],pointstable[],2,FALSE)</f>
        <v>22</v>
      </c>
      <c r="R69" s="5">
        <f>VLOOKUP(U14MMWruns[[#This Row],[pos2.025]],pointstable[],2,FALSE)</f>
        <v>0</v>
      </c>
      <c r="S69" s="5">
        <f>VLOOKUP(U14MMWruns[[#This Row],[pos0122]],pointstable[],2,FALSE)</f>
        <v>4</v>
      </c>
    </row>
    <row r="70" spans="1:19" x14ac:dyDescent="0.25">
      <c r="A70">
        <v>80630</v>
      </c>
      <c r="B70" t="s">
        <v>188</v>
      </c>
      <c r="C70" t="s">
        <v>19</v>
      </c>
      <c r="D70">
        <v>4</v>
      </c>
      <c r="E70" s="5">
        <f>SUM(LARGE(M70:S70,{1,2,3,4,5}))</f>
        <v>60</v>
      </c>
      <c r="F70" s="5">
        <f>IFERROR(VLOOKUP(U14MMWruns[[#This Row],[Card]],results0124[],4,FALSE),999)</f>
        <v>71</v>
      </c>
      <c r="G70" s="5">
        <f>IFERROR(VLOOKUP(U14MMWruns[[#This Row],[Card]],results0124[],5,FALSE),999)</f>
        <v>61</v>
      </c>
      <c r="H70" s="5">
        <f>IFERROR(VLOOKUP(U14MMWruns[[#This Row],[Card]],results0140[],4,FALSE),999)</f>
        <v>44</v>
      </c>
      <c r="I70" s="5">
        <f>IFERROR(VLOOKUP(U14MMWruns[[#This Row],[Card]],results0140[],5,FALSE),999)</f>
        <v>23</v>
      </c>
      <c r="J70" s="5">
        <f>IFERROR(VLOOKUP(U14MMWruns[[#This Row],[Card]],results0125[],4,FALSE),999)</f>
        <v>71</v>
      </c>
      <c r="K70" s="5">
        <f>IFERROR(VLOOKUP(U14MMWruns[[#This Row],[Card]],results0125[],5,FALSE),999)</f>
        <v>68</v>
      </c>
      <c r="L70" s="5">
        <f>IFERROR(VLOOKUP(U14MMWruns[[#This Row],[Card]],results0122[],3,FALSE),999)</f>
        <v>83</v>
      </c>
      <c r="M70" s="5">
        <f>VLOOKUP(U14MMWruns[[#This Row],[pos1.0124]],pointstable[],2,FALSE)</f>
        <v>0</v>
      </c>
      <c r="N70" s="5">
        <f>VLOOKUP(U14MMWruns[[#This Row],[POS2.0124]],pointstable[],2,FALSE)</f>
        <v>0</v>
      </c>
      <c r="O70" s="5">
        <f>VLOOKUP(U14MMWruns[[#This Row],[pos1.0140]],pointstable[],2,FALSE)</f>
        <v>16</v>
      </c>
      <c r="P70" s="5">
        <f>VLOOKUP(U14MMWruns[[#This Row],[pos2.0140]],pointstable[],2,FALSE)</f>
        <v>44</v>
      </c>
      <c r="Q70" s="5">
        <f>VLOOKUP(U14MMWruns[[#This Row],[pos1.0125]],pointstable[],2,FALSE)</f>
        <v>0</v>
      </c>
      <c r="R70" s="5">
        <f>VLOOKUP(U14MMWruns[[#This Row],[pos2.025]],pointstable[],2,FALSE)</f>
        <v>0</v>
      </c>
      <c r="S70" s="5">
        <f>VLOOKUP(U14MMWruns[[#This Row],[pos0122]],pointstable[],2,FALSE)</f>
        <v>0</v>
      </c>
    </row>
    <row r="71" spans="1:19" x14ac:dyDescent="0.25">
      <c r="A71">
        <v>80682</v>
      </c>
      <c r="B71" t="s">
        <v>135</v>
      </c>
      <c r="C71" t="s">
        <v>15</v>
      </c>
      <c r="D71">
        <v>4</v>
      </c>
      <c r="E71" s="5">
        <f>SUM(LARGE(M71:S71,{1,2,3,4,5}))</f>
        <v>59</v>
      </c>
      <c r="F71" s="5">
        <f>IFERROR(VLOOKUP(U14MMWruns[[#This Row],[Card]],results0124[],4,FALSE),999)</f>
        <v>45</v>
      </c>
      <c r="G71" s="5">
        <f>IFERROR(VLOOKUP(U14MMWruns[[#This Row],[Card]],results0124[],5,FALSE),999)</f>
        <v>40</v>
      </c>
      <c r="H71" s="5">
        <f>IFERROR(VLOOKUP(U14MMWruns[[#This Row],[Card]],results0140[],4,FALSE),999)</f>
        <v>47</v>
      </c>
      <c r="I71" s="5">
        <f>IFERROR(VLOOKUP(U14MMWruns[[#This Row],[Card]],results0140[],5,FALSE),999)</f>
        <v>999</v>
      </c>
      <c r="J71" s="5">
        <f>IFERROR(VLOOKUP(U14MMWruns[[#This Row],[Card]],results0125[],4,FALSE),999)</f>
        <v>63</v>
      </c>
      <c r="K71" s="5">
        <f>IFERROR(VLOOKUP(U14MMWruns[[#This Row],[Card]],results0125[],5,FALSE),999)</f>
        <v>53</v>
      </c>
      <c r="L71" s="5">
        <f>IFERROR(VLOOKUP(U14MMWruns[[#This Row],[Card]],results0122[],3,FALSE),999)</f>
        <v>56</v>
      </c>
      <c r="M71" s="5">
        <f>VLOOKUP(U14MMWruns[[#This Row],[pos1.0124]],pointstable[],2,FALSE)</f>
        <v>15</v>
      </c>
      <c r="N71" s="5">
        <f>VLOOKUP(U14MMWruns[[#This Row],[POS2.0124]],pointstable[],2,FALSE)</f>
        <v>20</v>
      </c>
      <c r="O71" s="5">
        <f>VLOOKUP(U14MMWruns[[#This Row],[pos1.0140]],pointstable[],2,FALSE)</f>
        <v>13</v>
      </c>
      <c r="P71" s="5">
        <f>VLOOKUP(U14MMWruns[[#This Row],[pos2.0140]],pointstable[],2,FALSE)</f>
        <v>0</v>
      </c>
      <c r="Q71" s="5">
        <f>VLOOKUP(U14MMWruns[[#This Row],[pos1.0125]],pointstable[],2,FALSE)</f>
        <v>0</v>
      </c>
      <c r="R71" s="5">
        <f>VLOOKUP(U14MMWruns[[#This Row],[pos2.025]],pointstable[],2,FALSE)</f>
        <v>7</v>
      </c>
      <c r="S71" s="5">
        <f>VLOOKUP(U14MMWruns[[#This Row],[pos0122]],pointstable[],2,FALSE)</f>
        <v>4</v>
      </c>
    </row>
    <row r="72" spans="1:19" x14ac:dyDescent="0.25">
      <c r="A72">
        <v>78181</v>
      </c>
      <c r="B72" t="s">
        <v>138</v>
      </c>
      <c r="C72" t="s">
        <v>61</v>
      </c>
      <c r="D72">
        <v>4</v>
      </c>
      <c r="E72" s="5">
        <f>SUM(LARGE(M72:S72,{1,2,3,4,5}))</f>
        <v>53</v>
      </c>
      <c r="F72" s="5">
        <f>IFERROR(VLOOKUP(U14MMWruns[[#This Row],[Card]],results0124[],4,FALSE),999)</f>
        <v>65</v>
      </c>
      <c r="G72" s="5">
        <f>IFERROR(VLOOKUP(U14MMWruns[[#This Row],[Card]],results0124[],5,FALSE),999)</f>
        <v>48</v>
      </c>
      <c r="H72" s="5">
        <f>IFERROR(VLOOKUP(U14MMWruns[[#This Row],[Card]],results0140[],4,FALSE),999)</f>
        <v>52</v>
      </c>
      <c r="I72" s="5">
        <f>IFERROR(VLOOKUP(U14MMWruns[[#This Row],[Card]],results0140[],5,FALSE),999)</f>
        <v>34</v>
      </c>
      <c r="J72" s="5">
        <f>IFERROR(VLOOKUP(U14MMWruns[[#This Row],[Card]],results0125[],4,FALSE),999)</f>
        <v>55</v>
      </c>
      <c r="K72" s="5">
        <f>IFERROR(VLOOKUP(U14MMWruns[[#This Row],[Card]],results0125[],5,FALSE),999)</f>
        <v>67</v>
      </c>
      <c r="L72" s="5">
        <f>IFERROR(VLOOKUP(U14MMWruns[[#This Row],[Card]],results0122[],3,FALSE),999)</f>
        <v>58</v>
      </c>
      <c r="M72" s="5">
        <f>VLOOKUP(U14MMWruns[[#This Row],[pos1.0124]],pointstable[],2,FALSE)</f>
        <v>0</v>
      </c>
      <c r="N72" s="5">
        <f>VLOOKUP(U14MMWruns[[#This Row],[POS2.0124]],pointstable[],2,FALSE)</f>
        <v>12</v>
      </c>
      <c r="O72" s="5">
        <f>VLOOKUP(U14MMWruns[[#This Row],[pos1.0140]],pointstable[],2,FALSE)</f>
        <v>8</v>
      </c>
      <c r="P72" s="5">
        <f>VLOOKUP(U14MMWruns[[#This Row],[pos2.0140]],pointstable[],2,FALSE)</f>
        <v>26</v>
      </c>
      <c r="Q72" s="5">
        <f>VLOOKUP(U14MMWruns[[#This Row],[pos1.0125]],pointstable[],2,FALSE)</f>
        <v>5</v>
      </c>
      <c r="R72" s="5">
        <f>VLOOKUP(U14MMWruns[[#This Row],[pos2.025]],pointstable[],2,FALSE)</f>
        <v>0</v>
      </c>
      <c r="S72" s="5">
        <f>VLOOKUP(U14MMWruns[[#This Row],[pos0122]],pointstable[],2,FALSE)</f>
        <v>2</v>
      </c>
    </row>
    <row r="73" spans="1:19" x14ac:dyDescent="0.25">
      <c r="A73">
        <v>81455</v>
      </c>
      <c r="B73" t="s">
        <v>171</v>
      </c>
      <c r="C73" t="s">
        <v>19</v>
      </c>
      <c r="D73">
        <v>5</v>
      </c>
      <c r="E73" s="5">
        <f>SUM(LARGE(M73:S73,{1,2,3,4,5}))</f>
        <v>53</v>
      </c>
      <c r="F73" s="5">
        <f>IFERROR(VLOOKUP(U14MMWruns[[#This Row],[Card]],results0124[],4,FALSE),999)</f>
        <v>55</v>
      </c>
      <c r="G73" s="5">
        <f>IFERROR(VLOOKUP(U14MMWruns[[#This Row],[Card]],results0124[],5,FALSE),999)</f>
        <v>53</v>
      </c>
      <c r="H73" s="5">
        <f>IFERROR(VLOOKUP(U14MMWruns[[#This Row],[Card]],results0140[],4,FALSE),999)</f>
        <v>999</v>
      </c>
      <c r="I73" s="5">
        <f>IFERROR(VLOOKUP(U14MMWruns[[#This Row],[Card]],results0140[],5,FALSE),999)</f>
        <v>25</v>
      </c>
      <c r="J73" s="5">
        <f>IFERROR(VLOOKUP(U14MMWruns[[#This Row],[Card]],results0125[],4,FALSE),999)</f>
        <v>57</v>
      </c>
      <c r="K73" s="5">
        <f>IFERROR(VLOOKUP(U14MMWruns[[#This Row],[Card]],results0125[],5,FALSE),999)</f>
        <v>66</v>
      </c>
      <c r="L73" s="5">
        <f>IFERROR(VLOOKUP(U14MMWruns[[#This Row],[Card]],results0122[],3,FALSE),999)</f>
        <v>74</v>
      </c>
      <c r="M73" s="5">
        <f>VLOOKUP(U14MMWruns[[#This Row],[pos1.0124]],pointstable[],2,FALSE)</f>
        <v>5</v>
      </c>
      <c r="N73" s="5">
        <f>VLOOKUP(U14MMWruns[[#This Row],[POS2.0124]],pointstable[],2,FALSE)</f>
        <v>7</v>
      </c>
      <c r="O73" s="5">
        <f>VLOOKUP(U14MMWruns[[#This Row],[pos1.0140]],pointstable[],2,FALSE)</f>
        <v>0</v>
      </c>
      <c r="P73" s="5">
        <f>VLOOKUP(U14MMWruns[[#This Row],[pos2.0140]],pointstable[],2,FALSE)</f>
        <v>38</v>
      </c>
      <c r="Q73" s="5">
        <f>VLOOKUP(U14MMWruns[[#This Row],[pos1.0125]],pointstable[],2,FALSE)</f>
        <v>3</v>
      </c>
      <c r="R73" s="5">
        <f>VLOOKUP(U14MMWruns[[#This Row],[pos2.025]],pointstable[],2,FALSE)</f>
        <v>0</v>
      </c>
      <c r="S73" s="5">
        <f>VLOOKUP(U14MMWruns[[#This Row],[pos0122]],pointstable[],2,FALSE)</f>
        <v>0</v>
      </c>
    </row>
    <row r="74" spans="1:19" x14ac:dyDescent="0.25">
      <c r="A74">
        <v>84722</v>
      </c>
      <c r="B74" t="s">
        <v>169</v>
      </c>
      <c r="C74" t="s">
        <v>61</v>
      </c>
      <c r="D74">
        <v>4</v>
      </c>
      <c r="E74" s="5">
        <f>SUM(LARGE(M74:S74,{1,2,3,4,5}))</f>
        <v>52</v>
      </c>
      <c r="F74" s="5">
        <f>IFERROR(VLOOKUP(U14MMWruns[[#This Row],[Card]],results0124[],4,FALSE),999)</f>
        <v>51</v>
      </c>
      <c r="G74" s="5">
        <f>IFERROR(VLOOKUP(U14MMWruns[[#This Row],[Card]],results0124[],5,FALSE),999)</f>
        <v>47</v>
      </c>
      <c r="H74" s="5">
        <f>IFERROR(VLOOKUP(U14MMWruns[[#This Row],[Card]],results0140[],4,FALSE),999)</f>
        <v>50</v>
      </c>
      <c r="I74" s="5">
        <f>IFERROR(VLOOKUP(U14MMWruns[[#This Row],[Card]],results0140[],5,FALSE),999)</f>
        <v>40</v>
      </c>
      <c r="J74" s="5">
        <f>IFERROR(VLOOKUP(U14MMWruns[[#This Row],[Card]],results0125[],4,FALSE),999)</f>
        <v>71</v>
      </c>
      <c r="K74" s="5">
        <f>IFERROR(VLOOKUP(U14MMWruns[[#This Row],[Card]],results0125[],5,FALSE),999)</f>
        <v>70</v>
      </c>
      <c r="L74" s="5">
        <f>IFERROR(VLOOKUP(U14MMWruns[[#This Row],[Card]],results0122[],3,FALSE),999)</f>
        <v>73</v>
      </c>
      <c r="M74" s="5">
        <f>VLOOKUP(U14MMWruns[[#This Row],[pos1.0124]],pointstable[],2,FALSE)</f>
        <v>9</v>
      </c>
      <c r="N74" s="5">
        <f>VLOOKUP(U14MMWruns[[#This Row],[POS2.0124]],pointstable[],2,FALSE)</f>
        <v>13</v>
      </c>
      <c r="O74" s="5">
        <f>VLOOKUP(U14MMWruns[[#This Row],[pos1.0140]],pointstable[],2,FALSE)</f>
        <v>10</v>
      </c>
      <c r="P74" s="5">
        <f>VLOOKUP(U14MMWruns[[#This Row],[pos2.0140]],pointstable[],2,FALSE)</f>
        <v>20</v>
      </c>
      <c r="Q74" s="5">
        <f>VLOOKUP(U14MMWruns[[#This Row],[pos1.0125]],pointstable[],2,FALSE)</f>
        <v>0</v>
      </c>
      <c r="R74" s="5">
        <f>VLOOKUP(U14MMWruns[[#This Row],[pos2.025]],pointstable[],2,FALSE)</f>
        <v>0</v>
      </c>
      <c r="S74" s="5">
        <f>VLOOKUP(U14MMWruns[[#This Row],[pos0122]],pointstable[],2,FALSE)</f>
        <v>0</v>
      </c>
    </row>
    <row r="75" spans="1:19" x14ac:dyDescent="0.25">
      <c r="A75">
        <v>80700</v>
      </c>
      <c r="B75" t="s">
        <v>192</v>
      </c>
      <c r="C75" t="s">
        <v>31</v>
      </c>
      <c r="D75">
        <v>4</v>
      </c>
      <c r="E75" s="5">
        <f>SUM(LARGE(M75:S75,{1,2,3,4,5}))</f>
        <v>51</v>
      </c>
      <c r="F75" s="5">
        <f>IFERROR(VLOOKUP(U14MMWruns[[#This Row],[Card]],results0124[],4,FALSE),999)</f>
        <v>88</v>
      </c>
      <c r="G75" s="5">
        <f>IFERROR(VLOOKUP(U14MMWruns[[#This Row],[Card]],results0124[],5,FALSE),999)</f>
        <v>78</v>
      </c>
      <c r="H75" s="5">
        <f>IFERROR(VLOOKUP(U14MMWruns[[#This Row],[Card]],results0140[],4,FALSE),999)</f>
        <v>54</v>
      </c>
      <c r="I75" s="5">
        <f>IFERROR(VLOOKUP(U14MMWruns[[#This Row],[Card]],results0140[],5,FALSE),999)</f>
        <v>39</v>
      </c>
      <c r="J75" s="5">
        <f>IFERROR(VLOOKUP(U14MMWruns[[#This Row],[Card]],results0125[],4,FALSE),999)</f>
        <v>39</v>
      </c>
      <c r="K75" s="5">
        <f>IFERROR(VLOOKUP(U14MMWruns[[#This Row],[Card]],results0125[],5,FALSE),999)</f>
        <v>57</v>
      </c>
      <c r="L75" s="5">
        <f>IFERROR(VLOOKUP(U14MMWruns[[#This Row],[Card]],results0122[],3,FALSE),999)</f>
        <v>86</v>
      </c>
      <c r="M75" s="5">
        <f>VLOOKUP(U14MMWruns[[#This Row],[pos1.0124]],pointstable[],2,FALSE)</f>
        <v>0</v>
      </c>
      <c r="N75" s="5">
        <f>VLOOKUP(U14MMWruns[[#This Row],[POS2.0124]],pointstable[],2,FALSE)</f>
        <v>0</v>
      </c>
      <c r="O75" s="5">
        <f>VLOOKUP(U14MMWruns[[#This Row],[pos1.0140]],pointstable[],2,FALSE)</f>
        <v>6</v>
      </c>
      <c r="P75" s="5">
        <f>VLOOKUP(U14MMWruns[[#This Row],[pos2.0140]],pointstable[],2,FALSE)</f>
        <v>21</v>
      </c>
      <c r="Q75" s="5">
        <f>VLOOKUP(U14MMWruns[[#This Row],[pos1.0125]],pointstable[],2,FALSE)</f>
        <v>21</v>
      </c>
      <c r="R75" s="5">
        <f>VLOOKUP(U14MMWruns[[#This Row],[pos2.025]],pointstable[],2,FALSE)</f>
        <v>3</v>
      </c>
      <c r="S75" s="5">
        <f>VLOOKUP(U14MMWruns[[#This Row],[pos0122]],pointstable[],2,FALSE)</f>
        <v>0</v>
      </c>
    </row>
    <row r="76" spans="1:19" x14ac:dyDescent="0.25">
      <c r="A76">
        <v>81139</v>
      </c>
      <c r="B76" t="s">
        <v>177</v>
      </c>
      <c r="C76" t="s">
        <v>22</v>
      </c>
      <c r="D76">
        <v>4</v>
      </c>
      <c r="E76" s="5">
        <f>SUM(LARGE(M76:S76,{1,2,3,4,5}))</f>
        <v>44</v>
      </c>
      <c r="F76" s="5">
        <f>IFERROR(VLOOKUP(U14MMWruns[[#This Row],[Card]],results0124[],4,FALSE),999)</f>
        <v>56</v>
      </c>
      <c r="G76" s="5">
        <f>IFERROR(VLOOKUP(U14MMWruns[[#This Row],[Card]],results0124[],5,FALSE),999)</f>
        <v>51</v>
      </c>
      <c r="H76" s="5">
        <f>IFERROR(VLOOKUP(U14MMWruns[[#This Row],[Card]],results0140[],4,FALSE),999)</f>
        <v>999</v>
      </c>
      <c r="I76" s="5">
        <f>IFERROR(VLOOKUP(U14MMWruns[[#This Row],[Card]],results0140[],5,FALSE),999)</f>
        <v>36</v>
      </c>
      <c r="J76" s="5">
        <f>IFERROR(VLOOKUP(U14MMWruns[[#This Row],[Card]],results0125[],4,FALSE),999)</f>
        <v>53</v>
      </c>
      <c r="K76" s="5">
        <f>IFERROR(VLOOKUP(U14MMWruns[[#This Row],[Card]],results0125[],5,FALSE),999)</f>
        <v>999</v>
      </c>
      <c r="L76" s="5">
        <f>IFERROR(VLOOKUP(U14MMWruns[[#This Row],[Card]],results0122[],3,FALSE),999)</f>
        <v>77</v>
      </c>
      <c r="M76" s="5">
        <f>VLOOKUP(U14MMWruns[[#This Row],[pos1.0124]],pointstable[],2,FALSE)</f>
        <v>4</v>
      </c>
      <c r="N76" s="5">
        <f>VLOOKUP(U14MMWruns[[#This Row],[POS2.0124]],pointstable[],2,FALSE)</f>
        <v>9</v>
      </c>
      <c r="O76" s="5">
        <f>VLOOKUP(U14MMWruns[[#This Row],[pos1.0140]],pointstable[],2,FALSE)</f>
        <v>0</v>
      </c>
      <c r="P76" s="5">
        <f>VLOOKUP(U14MMWruns[[#This Row],[pos2.0140]],pointstable[],2,FALSE)</f>
        <v>24</v>
      </c>
      <c r="Q76" s="5">
        <f>VLOOKUP(U14MMWruns[[#This Row],[pos1.0125]],pointstable[],2,FALSE)</f>
        <v>7</v>
      </c>
      <c r="R76" s="5">
        <f>VLOOKUP(U14MMWruns[[#This Row],[pos2.025]],pointstable[],2,FALSE)</f>
        <v>0</v>
      </c>
      <c r="S76" s="5">
        <f>VLOOKUP(U14MMWruns[[#This Row],[pos0122]],pointstable[],2,FALSE)</f>
        <v>0</v>
      </c>
    </row>
    <row r="77" spans="1:19" x14ac:dyDescent="0.25">
      <c r="A77">
        <v>82403</v>
      </c>
      <c r="B77" t="s">
        <v>175</v>
      </c>
      <c r="C77" t="s">
        <v>19</v>
      </c>
      <c r="D77">
        <v>5</v>
      </c>
      <c r="E77" s="5">
        <f>SUM(LARGE(M77:S77,{1,2,3,4,5}))</f>
        <v>41</v>
      </c>
      <c r="F77" s="5">
        <f>IFERROR(VLOOKUP(U14MMWruns[[#This Row],[Card]],results0124[],4,FALSE),999)</f>
        <v>63</v>
      </c>
      <c r="G77" s="5">
        <f>IFERROR(VLOOKUP(U14MMWruns[[#This Row],[Card]],results0124[],5,FALSE),999)</f>
        <v>62</v>
      </c>
      <c r="H77" s="5">
        <f>IFERROR(VLOOKUP(U14MMWruns[[#This Row],[Card]],results0140[],4,FALSE),999)</f>
        <v>48</v>
      </c>
      <c r="I77" s="5">
        <f>IFERROR(VLOOKUP(U14MMWruns[[#This Row],[Card]],results0140[],5,FALSE),999)</f>
        <v>31</v>
      </c>
      <c r="J77" s="5">
        <f>IFERROR(VLOOKUP(U14MMWruns[[#This Row],[Card]],results0125[],4,FALSE),999)</f>
        <v>999</v>
      </c>
      <c r="K77" s="5">
        <f>IFERROR(VLOOKUP(U14MMWruns[[#This Row],[Card]],results0125[],5,FALSE),999)</f>
        <v>999</v>
      </c>
      <c r="L77" s="5">
        <f>IFERROR(VLOOKUP(U14MMWruns[[#This Row],[Card]],results0122[],3,FALSE),999)</f>
        <v>76</v>
      </c>
      <c r="M77" s="5">
        <f>VLOOKUP(U14MMWruns[[#This Row],[pos1.0124]],pointstable[],2,FALSE)</f>
        <v>0</v>
      </c>
      <c r="N77" s="5">
        <f>VLOOKUP(U14MMWruns[[#This Row],[POS2.0124]],pointstable[],2,FALSE)</f>
        <v>0</v>
      </c>
      <c r="O77" s="5">
        <f>VLOOKUP(U14MMWruns[[#This Row],[pos1.0140]],pointstable[],2,FALSE)</f>
        <v>12</v>
      </c>
      <c r="P77" s="5">
        <f>VLOOKUP(U14MMWruns[[#This Row],[pos2.0140]],pointstable[],2,FALSE)</f>
        <v>29</v>
      </c>
      <c r="Q77" s="5">
        <f>VLOOKUP(U14MMWruns[[#This Row],[pos1.0125]],pointstable[],2,FALSE)</f>
        <v>0</v>
      </c>
      <c r="R77" s="5">
        <f>VLOOKUP(U14MMWruns[[#This Row],[pos2.025]],pointstable[],2,FALSE)</f>
        <v>0</v>
      </c>
      <c r="S77" s="5">
        <f>VLOOKUP(U14MMWruns[[#This Row],[pos0122]],pointstable[],2,FALSE)</f>
        <v>0</v>
      </c>
    </row>
    <row r="78" spans="1:19" x14ac:dyDescent="0.25">
      <c r="A78">
        <v>81500</v>
      </c>
      <c r="B78" t="s">
        <v>131</v>
      </c>
      <c r="C78" t="s">
        <v>22</v>
      </c>
      <c r="D78">
        <v>5</v>
      </c>
      <c r="E78" s="5">
        <f>SUM(LARGE(M78:S78,{1,2,3,4,5}))</f>
        <v>41</v>
      </c>
      <c r="F78" s="5">
        <f>IFERROR(VLOOKUP(U14MMWruns[[#This Row],[Card]],results0124[],4,FALSE),999)</f>
        <v>68</v>
      </c>
      <c r="G78" s="5">
        <f>IFERROR(VLOOKUP(U14MMWruns[[#This Row],[Card]],results0124[],5,FALSE),999)</f>
        <v>90</v>
      </c>
      <c r="H78" s="5">
        <f>IFERROR(VLOOKUP(U14MMWruns[[#This Row],[Card]],results0140[],4,FALSE),999)</f>
        <v>31</v>
      </c>
      <c r="I78" s="5">
        <f>IFERROR(VLOOKUP(U14MMWruns[[#This Row],[Card]],results0140[],5,FALSE),999)</f>
        <v>999</v>
      </c>
      <c r="J78" s="5">
        <f>IFERROR(VLOOKUP(U14MMWruns[[#This Row],[Card]],results0125[],4,FALSE),999)</f>
        <v>54</v>
      </c>
      <c r="K78" s="5">
        <f>IFERROR(VLOOKUP(U14MMWruns[[#This Row],[Card]],results0125[],5,FALSE),999)</f>
        <v>103</v>
      </c>
      <c r="L78" s="5">
        <f>IFERROR(VLOOKUP(U14MMWruns[[#This Row],[Card]],results0122[],3,FALSE),999)</f>
        <v>54</v>
      </c>
      <c r="M78" s="5">
        <f>VLOOKUP(U14MMWruns[[#This Row],[pos1.0124]],pointstable[],2,FALSE)</f>
        <v>0</v>
      </c>
      <c r="N78" s="5">
        <f>VLOOKUP(U14MMWruns[[#This Row],[POS2.0124]],pointstable[],2,FALSE)</f>
        <v>0</v>
      </c>
      <c r="O78" s="5">
        <f>VLOOKUP(U14MMWruns[[#This Row],[pos1.0140]],pointstable[],2,FALSE)</f>
        <v>29</v>
      </c>
      <c r="P78" s="5">
        <f>VLOOKUP(U14MMWruns[[#This Row],[pos2.0140]],pointstable[],2,FALSE)</f>
        <v>0</v>
      </c>
      <c r="Q78" s="5">
        <f>VLOOKUP(U14MMWruns[[#This Row],[pos1.0125]],pointstable[],2,FALSE)</f>
        <v>6</v>
      </c>
      <c r="R78" s="5">
        <f>VLOOKUP(U14MMWruns[[#This Row],[pos2.025]],pointstable[],2,FALSE)</f>
        <v>0</v>
      </c>
      <c r="S78" s="5">
        <f>VLOOKUP(U14MMWruns[[#This Row],[pos0122]],pointstable[],2,FALSE)</f>
        <v>6</v>
      </c>
    </row>
    <row r="79" spans="1:19" x14ac:dyDescent="0.25">
      <c r="A79">
        <v>80605</v>
      </c>
      <c r="B79" t="s">
        <v>162</v>
      </c>
      <c r="C79" t="s">
        <v>163</v>
      </c>
      <c r="D79">
        <v>5</v>
      </c>
      <c r="E79" s="5">
        <f>SUM(LARGE(M79:S79,{1,2,3,4,5}))</f>
        <v>35</v>
      </c>
      <c r="F79" s="5">
        <f>IFERROR(VLOOKUP(U14MMWruns[[#This Row],[Card]],results0124[],4,FALSE),999)</f>
        <v>76</v>
      </c>
      <c r="G79" s="5">
        <f>IFERROR(VLOOKUP(U14MMWruns[[#This Row],[Card]],results0124[],5,FALSE),999)</f>
        <v>60</v>
      </c>
      <c r="H79" s="5">
        <f>IFERROR(VLOOKUP(U14MMWruns[[#This Row],[Card]],results0140[],4,FALSE),999)</f>
        <v>43</v>
      </c>
      <c r="I79" s="5">
        <f>IFERROR(VLOOKUP(U14MMWruns[[#This Row],[Card]],results0140[],5,FALSE),999)</f>
        <v>43</v>
      </c>
      <c r="J79" s="5">
        <f>IFERROR(VLOOKUP(U14MMWruns[[#This Row],[Card]],results0125[],4,FALSE),999)</f>
        <v>77</v>
      </c>
      <c r="K79" s="5">
        <f>IFERROR(VLOOKUP(U14MMWruns[[#This Row],[Card]],results0125[],5,FALSE),999)</f>
        <v>69</v>
      </c>
      <c r="L79" s="5">
        <f>IFERROR(VLOOKUP(U14MMWruns[[#This Row],[Card]],results0122[],3,FALSE),999)</f>
        <v>70</v>
      </c>
      <c r="M79" s="5">
        <f>VLOOKUP(U14MMWruns[[#This Row],[pos1.0124]],pointstable[],2,FALSE)</f>
        <v>0</v>
      </c>
      <c r="N79" s="5">
        <f>VLOOKUP(U14MMWruns[[#This Row],[POS2.0124]],pointstable[],2,FALSE)</f>
        <v>1</v>
      </c>
      <c r="O79" s="5">
        <f>VLOOKUP(U14MMWruns[[#This Row],[pos1.0140]],pointstable[],2,FALSE)</f>
        <v>17</v>
      </c>
      <c r="P79" s="5">
        <f>VLOOKUP(U14MMWruns[[#This Row],[pos2.0140]],pointstable[],2,FALSE)</f>
        <v>17</v>
      </c>
      <c r="Q79" s="5">
        <f>VLOOKUP(U14MMWruns[[#This Row],[pos1.0125]],pointstable[],2,FALSE)</f>
        <v>0</v>
      </c>
      <c r="R79" s="5">
        <f>VLOOKUP(U14MMWruns[[#This Row],[pos2.025]],pointstable[],2,FALSE)</f>
        <v>0</v>
      </c>
      <c r="S79" s="5">
        <f>VLOOKUP(U14MMWruns[[#This Row],[pos0122]],pointstable[],2,FALSE)</f>
        <v>0</v>
      </c>
    </row>
    <row r="80" spans="1:19" x14ac:dyDescent="0.25">
      <c r="A80">
        <v>80724</v>
      </c>
      <c r="B80" t="s">
        <v>167</v>
      </c>
      <c r="C80" t="s">
        <v>22</v>
      </c>
      <c r="D80">
        <v>4</v>
      </c>
      <c r="E80" s="5">
        <f>SUM(LARGE(M80:S80,{1,2,3,4,5}))</f>
        <v>32</v>
      </c>
      <c r="F80" s="5">
        <f>IFERROR(VLOOKUP(U14MMWruns[[#This Row],[Card]],results0124[],4,FALSE),999)</f>
        <v>58</v>
      </c>
      <c r="G80" s="5">
        <f>IFERROR(VLOOKUP(U14MMWruns[[#This Row],[Card]],results0124[],5,FALSE),999)</f>
        <v>57</v>
      </c>
      <c r="H80" s="5">
        <f>IFERROR(VLOOKUP(U14MMWruns[[#This Row],[Card]],results0140[],4,FALSE),999)</f>
        <v>55</v>
      </c>
      <c r="I80" s="5">
        <f>IFERROR(VLOOKUP(U14MMWruns[[#This Row],[Card]],results0140[],5,FALSE),999)</f>
        <v>41</v>
      </c>
      <c r="J80" s="5">
        <f>IFERROR(VLOOKUP(U14MMWruns[[#This Row],[Card]],results0125[],4,FALSE),999)</f>
        <v>60</v>
      </c>
      <c r="K80" s="5">
        <f>IFERROR(VLOOKUP(U14MMWruns[[#This Row],[Card]],results0125[],5,FALSE),999)</f>
        <v>57</v>
      </c>
      <c r="L80" s="5">
        <f>IFERROR(VLOOKUP(U14MMWruns[[#This Row],[Card]],results0122[],3,FALSE),999)</f>
        <v>72</v>
      </c>
      <c r="M80" s="5">
        <f>VLOOKUP(U14MMWruns[[#This Row],[pos1.0124]],pointstable[],2,FALSE)</f>
        <v>2</v>
      </c>
      <c r="N80" s="5">
        <f>VLOOKUP(U14MMWruns[[#This Row],[POS2.0124]],pointstable[],2,FALSE)</f>
        <v>3</v>
      </c>
      <c r="O80" s="5">
        <f>VLOOKUP(U14MMWruns[[#This Row],[pos1.0140]],pointstable[],2,FALSE)</f>
        <v>5</v>
      </c>
      <c r="P80" s="5">
        <f>VLOOKUP(U14MMWruns[[#This Row],[pos2.0140]],pointstable[],2,FALSE)</f>
        <v>19</v>
      </c>
      <c r="Q80" s="5">
        <f>VLOOKUP(U14MMWruns[[#This Row],[pos1.0125]],pointstable[],2,FALSE)</f>
        <v>1</v>
      </c>
      <c r="R80" s="5">
        <f>VLOOKUP(U14MMWruns[[#This Row],[pos2.025]],pointstable[],2,FALSE)</f>
        <v>3</v>
      </c>
      <c r="S80" s="5">
        <f>VLOOKUP(U14MMWruns[[#This Row],[pos0122]],pointstable[],2,FALSE)</f>
        <v>0</v>
      </c>
    </row>
    <row r="81" spans="1:19" x14ac:dyDescent="0.25">
      <c r="A81">
        <v>78649</v>
      </c>
      <c r="B81" s="5" t="s">
        <v>308</v>
      </c>
      <c r="C81" s="5" t="s">
        <v>309</v>
      </c>
      <c r="D81" s="5">
        <v>4</v>
      </c>
      <c r="E81" s="5">
        <f>SUM(LARGE(M81:S81,{1,2,3,4,5}))</f>
        <v>28</v>
      </c>
      <c r="F81" s="5">
        <f>IFERROR(VLOOKUP(U14MMWruns[[#This Row],[Card]],results0124[],4,FALSE),999)</f>
        <v>93</v>
      </c>
      <c r="G81" s="5">
        <f>IFERROR(VLOOKUP(U14MMWruns[[#This Row],[Card]],results0124[],5,FALSE),999)</f>
        <v>83</v>
      </c>
      <c r="H81" s="5">
        <f>IFERROR(VLOOKUP(U14MMWruns[[#This Row],[Card]],results0140[],4,FALSE),999)</f>
        <v>46</v>
      </c>
      <c r="I81" s="5">
        <f>IFERROR(VLOOKUP(U14MMWruns[[#This Row],[Card]],results0140[],5,FALSE),999)</f>
        <v>46</v>
      </c>
      <c r="J81" s="5">
        <f>IFERROR(VLOOKUP(U14MMWruns[[#This Row],[Card]],results0125[],4,FALSE),999)</f>
        <v>84</v>
      </c>
      <c r="K81" s="5">
        <f>IFERROR(VLOOKUP(U14MMWruns[[#This Row],[Card]],results0125[],5,FALSE),999)</f>
        <v>87</v>
      </c>
      <c r="L81" s="5">
        <f>IFERROR(VLOOKUP(U14MMWruns[[#This Row],[Card]],results0122[],3,FALSE),999)</f>
        <v>999</v>
      </c>
      <c r="M81" s="5">
        <f>VLOOKUP(U14MMWruns[[#This Row],[pos1.0124]],pointstable[],2,FALSE)</f>
        <v>0</v>
      </c>
      <c r="N81" s="5">
        <f>VLOOKUP(U14MMWruns[[#This Row],[POS2.0124]],pointstable[],2,FALSE)</f>
        <v>0</v>
      </c>
      <c r="O81" s="5">
        <f>VLOOKUP(U14MMWruns[[#This Row],[pos1.0140]],pointstable[],2,FALSE)</f>
        <v>14</v>
      </c>
      <c r="P81" s="5">
        <f>VLOOKUP(U14MMWruns[[#This Row],[pos2.0140]],pointstable[],2,FALSE)</f>
        <v>14</v>
      </c>
      <c r="Q81" s="5">
        <f>VLOOKUP(U14MMWruns[[#This Row],[pos1.0125]],pointstable[],2,FALSE)</f>
        <v>0</v>
      </c>
      <c r="R81" s="5">
        <f>VLOOKUP(U14MMWruns[[#This Row],[pos2.025]],pointstable[],2,FALSE)</f>
        <v>0</v>
      </c>
      <c r="S81" s="5">
        <f>VLOOKUP(U14MMWruns[[#This Row],[pos0122]],pointstable[],2,FALSE)</f>
        <v>0</v>
      </c>
    </row>
    <row r="82" spans="1:19" x14ac:dyDescent="0.25">
      <c r="A82">
        <v>82143</v>
      </c>
      <c r="B82" t="s">
        <v>111</v>
      </c>
      <c r="C82" t="s">
        <v>112</v>
      </c>
      <c r="D82">
        <v>5</v>
      </c>
      <c r="E82" s="5">
        <f>SUM(LARGE(M82:S82,{1,2,3,4,5}))</f>
        <v>28</v>
      </c>
      <c r="F82" s="5">
        <f>IFERROR(VLOOKUP(U14MMWruns[[#This Row],[Card]],results0124[],4,FALSE),999)</f>
        <v>47</v>
      </c>
      <c r="G82" s="5">
        <f>IFERROR(VLOOKUP(U14MMWruns[[#This Row],[Card]],results0124[],5,FALSE),999)</f>
        <v>80</v>
      </c>
      <c r="H82" s="5">
        <f>IFERROR(VLOOKUP(U14MMWruns[[#This Row],[Card]],results0140[],4,FALSE),999)</f>
        <v>72</v>
      </c>
      <c r="I82" s="5">
        <f>IFERROR(VLOOKUP(U14MMWruns[[#This Row],[Card]],results0140[],5,FALSE),999)</f>
        <v>999</v>
      </c>
      <c r="J82" s="5">
        <f>IFERROR(VLOOKUP(U14MMWruns[[#This Row],[Card]],results0125[],4,FALSE),999)</f>
        <v>999</v>
      </c>
      <c r="K82" s="5">
        <f>IFERROR(VLOOKUP(U14MMWruns[[#This Row],[Card]],results0125[],5,FALSE),999)</f>
        <v>999</v>
      </c>
      <c r="L82" s="5">
        <f>IFERROR(VLOOKUP(U14MMWruns[[#This Row],[Card]],results0122[],3,FALSE),999)</f>
        <v>45</v>
      </c>
      <c r="M82" s="5">
        <f>VLOOKUP(U14MMWruns[[#This Row],[pos1.0124]],pointstable[],2,FALSE)</f>
        <v>13</v>
      </c>
      <c r="N82" s="5">
        <f>VLOOKUP(U14MMWruns[[#This Row],[POS2.0124]],pointstable[],2,FALSE)</f>
        <v>0</v>
      </c>
      <c r="O82" s="5">
        <f>VLOOKUP(U14MMWruns[[#This Row],[pos1.0140]],pointstable[],2,FALSE)</f>
        <v>0</v>
      </c>
      <c r="P82" s="5">
        <f>VLOOKUP(U14MMWruns[[#This Row],[pos2.0140]],pointstable[],2,FALSE)</f>
        <v>0</v>
      </c>
      <c r="Q82" s="5">
        <f>VLOOKUP(U14MMWruns[[#This Row],[pos1.0125]],pointstable[],2,FALSE)</f>
        <v>0</v>
      </c>
      <c r="R82" s="5">
        <f>VLOOKUP(U14MMWruns[[#This Row],[pos2.025]],pointstable[],2,FALSE)</f>
        <v>0</v>
      </c>
      <c r="S82" s="5">
        <f>VLOOKUP(U14MMWruns[[#This Row],[pos0122]],pointstable[],2,FALSE)</f>
        <v>15</v>
      </c>
    </row>
    <row r="83" spans="1:19" x14ac:dyDescent="0.25">
      <c r="A83">
        <v>80615</v>
      </c>
      <c r="B83" s="5" t="s">
        <v>292</v>
      </c>
      <c r="C83" s="5" t="s">
        <v>19</v>
      </c>
      <c r="D83">
        <v>4</v>
      </c>
      <c r="E83" s="5">
        <f>SUM(LARGE(M83:S83,{1,2,3,4,5}))</f>
        <v>27</v>
      </c>
      <c r="F83" s="5">
        <f>IFERROR(VLOOKUP(U14MMWruns[[#This Row],[Card]],results0124[],4,FALSE),999)</f>
        <v>79</v>
      </c>
      <c r="G83" s="5">
        <f>IFERROR(VLOOKUP(U14MMWruns[[#This Row],[Card]],results0124[],5,FALSE),999)</f>
        <v>72</v>
      </c>
      <c r="H83" s="5">
        <f>IFERROR(VLOOKUP(U14MMWruns[[#This Row],[Card]],results0140[],4,FALSE),999)</f>
        <v>42</v>
      </c>
      <c r="I83" s="5">
        <f>IFERROR(VLOOKUP(U14MMWruns[[#This Row],[Card]],results0140[],5,FALSE),999)</f>
        <v>999</v>
      </c>
      <c r="J83" s="5">
        <f>IFERROR(VLOOKUP(U14MMWruns[[#This Row],[Card]],results0125[],4,FALSE),999)</f>
        <v>65</v>
      </c>
      <c r="K83" s="5">
        <f>IFERROR(VLOOKUP(U14MMWruns[[#This Row],[Card]],results0125[],5,FALSE),999)</f>
        <v>51</v>
      </c>
      <c r="L83" s="5">
        <f>IFERROR(VLOOKUP(U14MMWruns[[#This Row],[Card]],results0122[],3,FALSE),999)</f>
        <v>999</v>
      </c>
      <c r="M83" s="5">
        <f>VLOOKUP(U14MMWruns[[#This Row],[pos1.0124]],pointstable[],2,FALSE)</f>
        <v>0</v>
      </c>
      <c r="N83" s="5">
        <f>VLOOKUP(U14MMWruns[[#This Row],[POS2.0124]],pointstable[],2,FALSE)</f>
        <v>0</v>
      </c>
      <c r="O83" s="5">
        <f>VLOOKUP(U14MMWruns[[#This Row],[pos1.0140]],pointstable[],2,FALSE)</f>
        <v>18</v>
      </c>
      <c r="P83" s="5">
        <f>VLOOKUP(U14MMWruns[[#This Row],[pos2.0140]],pointstable[],2,FALSE)</f>
        <v>0</v>
      </c>
      <c r="Q83" s="5">
        <f>VLOOKUP(U14MMWruns[[#This Row],[pos1.0125]],pointstable[],2,FALSE)</f>
        <v>0</v>
      </c>
      <c r="R83" s="5">
        <f>VLOOKUP(U14MMWruns[[#This Row],[pos2.025]],pointstable[],2,FALSE)</f>
        <v>9</v>
      </c>
      <c r="S83" s="5">
        <f>VLOOKUP(U14MMWruns[[#This Row],[pos0122]],pointstable[],2,FALSE)</f>
        <v>0</v>
      </c>
    </row>
    <row r="84" spans="1:19" x14ac:dyDescent="0.25">
      <c r="A84">
        <v>78178</v>
      </c>
      <c r="B84" t="s">
        <v>194</v>
      </c>
      <c r="C84" t="s">
        <v>61</v>
      </c>
      <c r="D84">
        <v>4</v>
      </c>
      <c r="E84" s="5">
        <f>SUM(LARGE(M84:S84,{1,2,3,4,5}))</f>
        <v>22</v>
      </c>
      <c r="F84" s="5">
        <f>IFERROR(VLOOKUP(U14MMWruns[[#This Row],[Card]],results0124[],4,FALSE),999)</f>
        <v>67</v>
      </c>
      <c r="G84" s="5">
        <f>IFERROR(VLOOKUP(U14MMWruns[[#This Row],[Card]],results0124[],5,FALSE),999)</f>
        <v>66</v>
      </c>
      <c r="H84" s="5">
        <f>IFERROR(VLOOKUP(U14MMWruns[[#This Row],[Card]],results0140[],4,FALSE),999)</f>
        <v>38</v>
      </c>
      <c r="I84" s="5">
        <f>IFERROR(VLOOKUP(U14MMWruns[[#This Row],[Card]],results0140[],5,FALSE),999)</f>
        <v>999</v>
      </c>
      <c r="J84" s="5">
        <f>IFERROR(VLOOKUP(U14MMWruns[[#This Row],[Card]],results0125[],4,FALSE),999)</f>
        <v>64</v>
      </c>
      <c r="K84" s="5">
        <f>IFERROR(VLOOKUP(U14MMWruns[[#This Row],[Card]],results0125[],5,FALSE),999)</f>
        <v>78</v>
      </c>
      <c r="L84" s="5">
        <f>IFERROR(VLOOKUP(U14MMWruns[[#This Row],[Card]],results0122[],3,FALSE),999)</f>
        <v>87</v>
      </c>
      <c r="M84" s="5">
        <f>VLOOKUP(U14MMWruns[[#This Row],[pos1.0124]],pointstable[],2,FALSE)</f>
        <v>0</v>
      </c>
      <c r="N84" s="5">
        <f>VLOOKUP(U14MMWruns[[#This Row],[POS2.0124]],pointstable[],2,FALSE)</f>
        <v>0</v>
      </c>
      <c r="O84" s="5">
        <f>VLOOKUP(U14MMWruns[[#This Row],[pos1.0140]],pointstable[],2,FALSE)</f>
        <v>22</v>
      </c>
      <c r="P84" s="5">
        <f>VLOOKUP(U14MMWruns[[#This Row],[pos2.0140]],pointstable[],2,FALSE)</f>
        <v>0</v>
      </c>
      <c r="Q84" s="5">
        <f>VLOOKUP(U14MMWruns[[#This Row],[pos1.0125]],pointstable[],2,FALSE)</f>
        <v>0</v>
      </c>
      <c r="R84" s="5">
        <f>VLOOKUP(U14MMWruns[[#This Row],[pos2.025]],pointstable[],2,FALSE)</f>
        <v>0</v>
      </c>
      <c r="S84" s="5">
        <f>VLOOKUP(U14MMWruns[[#This Row],[pos0122]],pointstable[],2,FALSE)</f>
        <v>0</v>
      </c>
    </row>
    <row r="85" spans="1:19" x14ac:dyDescent="0.25">
      <c r="A85">
        <v>85566</v>
      </c>
      <c r="B85" t="s">
        <v>150</v>
      </c>
      <c r="C85" t="s">
        <v>117</v>
      </c>
      <c r="D85">
        <v>5</v>
      </c>
      <c r="E85" s="5">
        <f>SUM(LARGE(M85:S85,{1,2,3,4,5}))</f>
        <v>22</v>
      </c>
      <c r="F85" s="5">
        <f>IFERROR(VLOOKUP(U14MMWruns[[#This Row],[Card]],results0124[],4,FALSE),999)</f>
        <v>69</v>
      </c>
      <c r="G85" s="5">
        <f>IFERROR(VLOOKUP(U14MMWruns[[#This Row],[Card]],results0124[],5,FALSE),999)</f>
        <v>999</v>
      </c>
      <c r="H85" s="5">
        <f>IFERROR(VLOOKUP(U14MMWruns[[#This Row],[Card]],results0140[],4,FALSE),999)</f>
        <v>999</v>
      </c>
      <c r="I85" s="5">
        <f>IFERROR(VLOOKUP(U14MMWruns[[#This Row],[Card]],results0140[],5,FALSE),999)</f>
        <v>38</v>
      </c>
      <c r="J85" s="5">
        <f>IFERROR(VLOOKUP(U14MMWruns[[#This Row],[Card]],results0125[],4,FALSE),999)</f>
        <v>83</v>
      </c>
      <c r="K85" s="5">
        <f>IFERROR(VLOOKUP(U14MMWruns[[#This Row],[Card]],results0125[],5,FALSE),999)</f>
        <v>83</v>
      </c>
      <c r="L85" s="5">
        <f>IFERROR(VLOOKUP(U14MMWruns[[#This Row],[Card]],results0122[],3,FALSE),999)</f>
        <v>64</v>
      </c>
      <c r="M85" s="5">
        <f>VLOOKUP(U14MMWruns[[#This Row],[pos1.0124]],pointstable[],2,FALSE)</f>
        <v>0</v>
      </c>
      <c r="N85" s="5">
        <f>VLOOKUP(U14MMWruns[[#This Row],[POS2.0124]],pointstable[],2,FALSE)</f>
        <v>0</v>
      </c>
      <c r="O85" s="5">
        <f>VLOOKUP(U14MMWruns[[#This Row],[pos1.0140]],pointstable[],2,FALSE)</f>
        <v>0</v>
      </c>
      <c r="P85" s="5">
        <f>VLOOKUP(U14MMWruns[[#This Row],[pos2.0140]],pointstable[],2,FALSE)</f>
        <v>22</v>
      </c>
      <c r="Q85" s="5">
        <f>VLOOKUP(U14MMWruns[[#This Row],[pos1.0125]],pointstable[],2,FALSE)</f>
        <v>0</v>
      </c>
      <c r="R85" s="5">
        <f>VLOOKUP(U14MMWruns[[#This Row],[pos2.025]],pointstable[],2,FALSE)</f>
        <v>0</v>
      </c>
      <c r="S85" s="5">
        <f>VLOOKUP(U14MMWruns[[#This Row],[pos0122]],pointstable[],2,FALSE)</f>
        <v>0</v>
      </c>
    </row>
    <row r="86" spans="1:19" x14ac:dyDescent="0.25">
      <c r="A86">
        <v>86207</v>
      </c>
      <c r="B86" s="5" t="s">
        <v>294</v>
      </c>
      <c r="C86" s="5" t="s">
        <v>54</v>
      </c>
      <c r="D86">
        <v>5</v>
      </c>
      <c r="E86" s="5">
        <f>SUM(LARGE(M86:S86,{1,2,3,4,5}))</f>
        <v>18</v>
      </c>
      <c r="F86" s="5">
        <f>IFERROR(VLOOKUP(U14MMWruns[[#This Row],[Card]],results0124[],4,FALSE),999)</f>
        <v>82</v>
      </c>
      <c r="G86" s="5">
        <f>IFERROR(VLOOKUP(U14MMWruns[[#This Row],[Card]],results0124[],5,FALSE),999)</f>
        <v>74</v>
      </c>
      <c r="H86" s="5">
        <f>IFERROR(VLOOKUP(U14MMWruns[[#This Row],[Card]],results0140[],4,FALSE),999)</f>
        <v>999</v>
      </c>
      <c r="I86" s="5">
        <f>IFERROR(VLOOKUP(U14MMWruns[[#This Row],[Card]],results0140[],5,FALSE),999)</f>
        <v>42</v>
      </c>
      <c r="J86" s="5">
        <f>IFERROR(VLOOKUP(U14MMWruns[[#This Row],[Card]],results0125[],4,FALSE),999)</f>
        <v>999</v>
      </c>
      <c r="K86" s="5">
        <f>IFERROR(VLOOKUP(U14MMWruns[[#This Row],[Card]],results0125[],5,FALSE),999)</f>
        <v>91</v>
      </c>
      <c r="L86" s="5">
        <f>IFERROR(VLOOKUP(U14MMWruns[[#This Row],[Card]],results0122[],3,FALSE),999)</f>
        <v>999</v>
      </c>
      <c r="M86" s="5">
        <f>VLOOKUP(U14MMWruns[[#This Row],[pos1.0124]],pointstable[],2,FALSE)</f>
        <v>0</v>
      </c>
      <c r="N86" s="5">
        <f>VLOOKUP(U14MMWruns[[#This Row],[POS2.0124]],pointstable[],2,FALSE)</f>
        <v>0</v>
      </c>
      <c r="O86" s="5">
        <f>VLOOKUP(U14MMWruns[[#This Row],[pos1.0140]],pointstable[],2,FALSE)</f>
        <v>0</v>
      </c>
      <c r="P86" s="5">
        <f>VLOOKUP(U14MMWruns[[#This Row],[pos2.0140]],pointstable[],2,FALSE)</f>
        <v>18</v>
      </c>
      <c r="Q86" s="5">
        <f>VLOOKUP(U14MMWruns[[#This Row],[pos1.0125]],pointstable[],2,FALSE)</f>
        <v>0</v>
      </c>
      <c r="R86" s="5">
        <f>VLOOKUP(U14MMWruns[[#This Row],[pos2.025]],pointstable[],2,FALSE)</f>
        <v>0</v>
      </c>
      <c r="S86" s="5">
        <f>VLOOKUP(U14MMWruns[[#This Row],[pos0122]],pointstable[],2,FALSE)</f>
        <v>0</v>
      </c>
    </row>
    <row r="87" spans="1:19" x14ac:dyDescent="0.25">
      <c r="A87">
        <v>85448</v>
      </c>
      <c r="B87" t="s">
        <v>224</v>
      </c>
      <c r="C87" t="s">
        <v>101</v>
      </c>
      <c r="D87">
        <v>4</v>
      </c>
      <c r="E87" s="5">
        <f>SUM(LARGE(M87:S87,{1,2,3,4,5}))</f>
        <v>17</v>
      </c>
      <c r="F87" s="5">
        <f>IFERROR(VLOOKUP(U14MMWruns[[#This Row],[Card]],results0124[],4,FALSE),999)</f>
        <v>103</v>
      </c>
      <c r="G87" s="5">
        <f>IFERROR(VLOOKUP(U14MMWruns[[#This Row],[Card]],results0124[],5,FALSE),999)</f>
        <v>45</v>
      </c>
      <c r="H87" s="5">
        <f>IFERROR(VLOOKUP(U14MMWruns[[#This Row],[Card]],results0140[],4,FALSE),999)</f>
        <v>999</v>
      </c>
      <c r="I87" s="5">
        <f>IFERROR(VLOOKUP(U14MMWruns[[#This Row],[Card]],results0140[],5,FALSE),999)</f>
        <v>999</v>
      </c>
      <c r="J87" s="5">
        <f>IFERROR(VLOOKUP(U14MMWruns[[#This Row],[Card]],results0125[],4,FALSE),999)</f>
        <v>58</v>
      </c>
      <c r="K87" s="5">
        <f>IFERROR(VLOOKUP(U14MMWruns[[#This Row],[Card]],results0125[],5,FALSE),999)</f>
        <v>999</v>
      </c>
      <c r="L87" s="5">
        <f>IFERROR(VLOOKUP(U14MMWruns[[#This Row],[Card]],results0122[],3,FALSE),999)</f>
        <v>999</v>
      </c>
      <c r="M87" s="5">
        <f>VLOOKUP(U14MMWruns[[#This Row],[pos1.0124]],pointstable[],2,FALSE)</f>
        <v>0</v>
      </c>
      <c r="N87" s="5">
        <f>VLOOKUP(U14MMWruns[[#This Row],[POS2.0124]],pointstable[],2,FALSE)</f>
        <v>15</v>
      </c>
      <c r="O87" s="5">
        <f>VLOOKUP(U14MMWruns[[#This Row],[pos1.0140]],pointstable[],2,FALSE)</f>
        <v>0</v>
      </c>
      <c r="P87" s="5">
        <f>VLOOKUP(U14MMWruns[[#This Row],[pos2.0140]],pointstable[],2,FALSE)</f>
        <v>0</v>
      </c>
      <c r="Q87" s="5">
        <f>VLOOKUP(U14MMWruns[[#This Row],[pos1.0125]],pointstable[],2,FALSE)</f>
        <v>2</v>
      </c>
      <c r="R87" s="5">
        <f>VLOOKUP(U14MMWruns[[#This Row],[pos2.025]],pointstable[],2,FALSE)</f>
        <v>0</v>
      </c>
      <c r="S87" s="5">
        <f>VLOOKUP(U14MMWruns[[#This Row],[pos0122]],pointstable[],2,FALSE)</f>
        <v>0</v>
      </c>
    </row>
    <row r="88" spans="1:19" x14ac:dyDescent="0.25">
      <c r="A88">
        <v>76510</v>
      </c>
      <c r="B88" t="s">
        <v>186</v>
      </c>
      <c r="C88" t="s">
        <v>38</v>
      </c>
      <c r="D88">
        <v>4</v>
      </c>
      <c r="E88" s="5">
        <f>SUM(LARGE(M88:S88,{1,2,3,4,5}))</f>
        <v>16</v>
      </c>
      <c r="F88" s="5">
        <f>IFERROR(VLOOKUP(U14MMWruns[[#This Row],[Card]],results0124[],4,FALSE),999)</f>
        <v>71</v>
      </c>
      <c r="G88" s="5">
        <f>IFERROR(VLOOKUP(U14MMWruns[[#This Row],[Card]],results0124[],5,FALSE),999)</f>
        <v>68</v>
      </c>
      <c r="H88" s="5">
        <f>IFERROR(VLOOKUP(U14MMWruns[[#This Row],[Card]],results0140[],4,FALSE),999)</f>
        <v>62</v>
      </c>
      <c r="I88" s="5">
        <f>IFERROR(VLOOKUP(U14MMWruns[[#This Row],[Card]],results0140[],5,FALSE),999)</f>
        <v>45</v>
      </c>
      <c r="J88" s="5">
        <f>IFERROR(VLOOKUP(U14MMWruns[[#This Row],[Card]],results0125[],4,FALSE),999)</f>
        <v>59</v>
      </c>
      <c r="K88" s="5">
        <f>IFERROR(VLOOKUP(U14MMWruns[[#This Row],[Card]],results0125[],5,FALSE),999)</f>
        <v>72</v>
      </c>
      <c r="L88" s="5">
        <f>IFERROR(VLOOKUP(U14MMWruns[[#This Row],[Card]],results0122[],3,FALSE),999)</f>
        <v>82</v>
      </c>
      <c r="M88" s="5">
        <f>VLOOKUP(U14MMWruns[[#This Row],[pos1.0124]],pointstable[],2,FALSE)</f>
        <v>0</v>
      </c>
      <c r="N88" s="5">
        <f>VLOOKUP(U14MMWruns[[#This Row],[POS2.0124]],pointstable[],2,FALSE)</f>
        <v>0</v>
      </c>
      <c r="O88" s="5">
        <f>VLOOKUP(U14MMWruns[[#This Row],[pos1.0140]],pointstable[],2,FALSE)</f>
        <v>0</v>
      </c>
      <c r="P88" s="5">
        <f>VLOOKUP(U14MMWruns[[#This Row],[pos2.0140]],pointstable[],2,FALSE)</f>
        <v>15</v>
      </c>
      <c r="Q88" s="5">
        <f>VLOOKUP(U14MMWruns[[#This Row],[pos1.0125]],pointstable[],2,FALSE)</f>
        <v>1</v>
      </c>
      <c r="R88" s="5">
        <f>VLOOKUP(U14MMWruns[[#This Row],[pos2.025]],pointstable[],2,FALSE)</f>
        <v>0</v>
      </c>
      <c r="S88" s="5">
        <f>VLOOKUP(U14MMWruns[[#This Row],[pos0122]],pointstable[],2,FALSE)</f>
        <v>0</v>
      </c>
    </row>
    <row r="89" spans="1:19" x14ac:dyDescent="0.25">
      <c r="A89">
        <v>79148</v>
      </c>
      <c r="B89" t="s">
        <v>191</v>
      </c>
      <c r="C89" t="s">
        <v>31</v>
      </c>
      <c r="D89">
        <v>4</v>
      </c>
      <c r="E89" s="5">
        <f>SUM(LARGE(M89:S89,{1,2,3,4,5}))</f>
        <v>16</v>
      </c>
      <c r="F89" s="5">
        <f>IFERROR(VLOOKUP(U14MMWruns[[#This Row],[Card]],results0124[],4,FALSE),999)</f>
        <v>60</v>
      </c>
      <c r="G89" s="5">
        <f>IFERROR(VLOOKUP(U14MMWruns[[#This Row],[Card]],results0124[],5,FALSE),999)</f>
        <v>75</v>
      </c>
      <c r="H89" s="5">
        <f>IFERROR(VLOOKUP(U14MMWruns[[#This Row],[Card]],results0140[],4,FALSE),999)</f>
        <v>45</v>
      </c>
      <c r="I89" s="5">
        <f>IFERROR(VLOOKUP(U14MMWruns[[#This Row],[Card]],results0140[],5,FALSE),999)</f>
        <v>999</v>
      </c>
      <c r="J89" s="5">
        <f>IFERROR(VLOOKUP(U14MMWruns[[#This Row],[Card]],results0125[],4,FALSE),999)</f>
        <v>69</v>
      </c>
      <c r="K89" s="5">
        <f>IFERROR(VLOOKUP(U14MMWruns[[#This Row],[Card]],results0125[],5,FALSE),999)</f>
        <v>65</v>
      </c>
      <c r="L89" s="5">
        <f>IFERROR(VLOOKUP(U14MMWruns[[#This Row],[Card]],results0122[],3,FALSE),999)</f>
        <v>83</v>
      </c>
      <c r="M89" s="5">
        <f>VLOOKUP(U14MMWruns[[#This Row],[pos1.0124]],pointstable[],2,FALSE)</f>
        <v>1</v>
      </c>
      <c r="N89" s="5">
        <f>VLOOKUP(U14MMWruns[[#This Row],[POS2.0124]],pointstable[],2,FALSE)</f>
        <v>0</v>
      </c>
      <c r="O89" s="5">
        <f>VLOOKUP(U14MMWruns[[#This Row],[pos1.0140]],pointstable[],2,FALSE)</f>
        <v>15</v>
      </c>
      <c r="P89" s="5">
        <f>VLOOKUP(U14MMWruns[[#This Row],[pos2.0140]],pointstable[],2,FALSE)</f>
        <v>0</v>
      </c>
      <c r="Q89" s="5">
        <f>VLOOKUP(U14MMWruns[[#This Row],[pos1.0125]],pointstable[],2,FALSE)</f>
        <v>0</v>
      </c>
      <c r="R89" s="5">
        <f>VLOOKUP(U14MMWruns[[#This Row],[pos2.025]],pointstable[],2,FALSE)</f>
        <v>0</v>
      </c>
      <c r="S89" s="5">
        <f>VLOOKUP(U14MMWruns[[#This Row],[pos0122]],pointstable[],2,FALSE)</f>
        <v>0</v>
      </c>
    </row>
    <row r="90" spans="1:19" x14ac:dyDescent="0.25">
      <c r="A90">
        <v>87999</v>
      </c>
      <c r="B90" t="s">
        <v>179</v>
      </c>
      <c r="C90" t="s">
        <v>19</v>
      </c>
      <c r="D90">
        <v>5</v>
      </c>
      <c r="E90" s="5">
        <f>SUM(LARGE(M90:S90,{1,2,3,4,5}))</f>
        <v>16</v>
      </c>
      <c r="F90" s="5">
        <f>IFERROR(VLOOKUP(U14MMWruns[[#This Row],[Card]],results0124[],4,FALSE),999)</f>
        <v>70</v>
      </c>
      <c r="G90" s="5">
        <f>IFERROR(VLOOKUP(U14MMWruns[[#This Row],[Card]],results0124[],5,FALSE),999)</f>
        <v>999</v>
      </c>
      <c r="H90" s="5">
        <f>IFERROR(VLOOKUP(U14MMWruns[[#This Row],[Card]],results0140[],4,FALSE),999)</f>
        <v>999</v>
      </c>
      <c r="I90" s="5">
        <f>IFERROR(VLOOKUP(U14MMWruns[[#This Row],[Card]],results0140[],5,FALSE),999)</f>
        <v>44</v>
      </c>
      <c r="J90" s="5">
        <f>IFERROR(VLOOKUP(U14MMWruns[[#This Row],[Card]],results0125[],4,FALSE),999)</f>
        <v>79</v>
      </c>
      <c r="K90" s="5">
        <f>IFERROR(VLOOKUP(U14MMWruns[[#This Row],[Card]],results0125[],5,FALSE),999)</f>
        <v>75</v>
      </c>
      <c r="L90" s="5">
        <f>IFERROR(VLOOKUP(U14MMWruns[[#This Row],[Card]],results0122[],3,FALSE),999)</f>
        <v>78</v>
      </c>
      <c r="M90" s="5">
        <f>VLOOKUP(U14MMWruns[[#This Row],[pos1.0124]],pointstable[],2,FALSE)</f>
        <v>0</v>
      </c>
      <c r="N90" s="5">
        <f>VLOOKUP(U14MMWruns[[#This Row],[POS2.0124]],pointstable[],2,FALSE)</f>
        <v>0</v>
      </c>
      <c r="O90" s="5">
        <f>VLOOKUP(U14MMWruns[[#This Row],[pos1.0140]],pointstable[],2,FALSE)</f>
        <v>0</v>
      </c>
      <c r="P90" s="5">
        <f>VLOOKUP(U14MMWruns[[#This Row],[pos2.0140]],pointstable[],2,FALSE)</f>
        <v>16</v>
      </c>
      <c r="Q90" s="5">
        <f>VLOOKUP(U14MMWruns[[#This Row],[pos1.0125]],pointstable[],2,FALSE)</f>
        <v>0</v>
      </c>
      <c r="R90" s="5">
        <f>VLOOKUP(U14MMWruns[[#This Row],[pos2.025]],pointstable[],2,FALSE)</f>
        <v>0</v>
      </c>
      <c r="S90" s="5">
        <f>VLOOKUP(U14MMWruns[[#This Row],[pos0122]],pointstable[],2,FALSE)</f>
        <v>0</v>
      </c>
    </row>
    <row r="91" spans="1:19" x14ac:dyDescent="0.25">
      <c r="A91">
        <v>78669</v>
      </c>
      <c r="B91" t="s">
        <v>116</v>
      </c>
      <c r="C91" t="s">
        <v>117</v>
      </c>
      <c r="D91">
        <v>4</v>
      </c>
      <c r="E91" s="5">
        <f>SUM(LARGE(M91:S91,{1,2,3,4,5}))</f>
        <v>13</v>
      </c>
      <c r="F91" s="5">
        <f>IFERROR(VLOOKUP(U14MMWruns[[#This Row],[Card]],results0124[],4,FALSE),999)</f>
        <v>999</v>
      </c>
      <c r="G91" s="5">
        <f>IFERROR(VLOOKUP(U14MMWruns[[#This Row],[Card]],results0124[],5,FALSE),999)</f>
        <v>65</v>
      </c>
      <c r="H91" s="5">
        <f>IFERROR(VLOOKUP(U14MMWruns[[#This Row],[Card]],results0140[],4,FALSE),999)</f>
        <v>999</v>
      </c>
      <c r="I91" s="5">
        <f>IFERROR(VLOOKUP(U14MMWruns[[#This Row],[Card]],results0140[],5,FALSE),999)</f>
        <v>999</v>
      </c>
      <c r="J91" s="5">
        <f>IFERROR(VLOOKUP(U14MMWruns[[#This Row],[Card]],results0125[],4,FALSE),999)</f>
        <v>62</v>
      </c>
      <c r="K91" s="5">
        <f>IFERROR(VLOOKUP(U14MMWruns[[#This Row],[Card]],results0125[],5,FALSE),999)</f>
        <v>101</v>
      </c>
      <c r="L91" s="5">
        <f>IFERROR(VLOOKUP(U14MMWruns[[#This Row],[Card]],results0122[],3,FALSE),999)</f>
        <v>47</v>
      </c>
      <c r="M91" s="5">
        <f>VLOOKUP(U14MMWruns[[#This Row],[pos1.0124]],pointstable[],2,FALSE)</f>
        <v>0</v>
      </c>
      <c r="N91" s="5">
        <f>VLOOKUP(U14MMWruns[[#This Row],[POS2.0124]],pointstable[],2,FALSE)</f>
        <v>0</v>
      </c>
      <c r="O91" s="5">
        <f>VLOOKUP(U14MMWruns[[#This Row],[pos1.0140]],pointstable[],2,FALSE)</f>
        <v>0</v>
      </c>
      <c r="P91" s="5">
        <f>VLOOKUP(U14MMWruns[[#This Row],[pos2.0140]],pointstable[],2,FALSE)</f>
        <v>0</v>
      </c>
      <c r="Q91" s="5">
        <f>VLOOKUP(U14MMWruns[[#This Row],[pos1.0125]],pointstable[],2,FALSE)</f>
        <v>0</v>
      </c>
      <c r="R91" s="5">
        <f>VLOOKUP(U14MMWruns[[#This Row],[pos2.025]],pointstable[],2,FALSE)</f>
        <v>0</v>
      </c>
      <c r="S91" s="5">
        <f>VLOOKUP(U14MMWruns[[#This Row],[pos0122]],pointstable[],2,FALSE)</f>
        <v>13</v>
      </c>
    </row>
    <row r="92" spans="1:19" x14ac:dyDescent="0.25">
      <c r="A92">
        <v>80830</v>
      </c>
      <c r="B92" t="s">
        <v>217</v>
      </c>
      <c r="C92" t="s">
        <v>54</v>
      </c>
      <c r="D92">
        <v>5</v>
      </c>
      <c r="E92" s="5">
        <f>SUM(LARGE(M92:S92,{1,2,3,4,5}))</f>
        <v>13</v>
      </c>
      <c r="F92" s="5">
        <f>IFERROR(VLOOKUP(U14MMWruns[[#This Row],[Card]],results0124[],4,FALSE),999)</f>
        <v>87</v>
      </c>
      <c r="G92" s="5">
        <f>IFERROR(VLOOKUP(U14MMWruns[[#This Row],[Card]],results0124[],5,FALSE),999)</f>
        <v>71</v>
      </c>
      <c r="H92" s="5">
        <f>IFERROR(VLOOKUP(U14MMWruns[[#This Row],[Card]],results0140[],4,FALSE),999)</f>
        <v>999</v>
      </c>
      <c r="I92" s="5">
        <f>IFERROR(VLOOKUP(U14MMWruns[[#This Row],[Card]],results0140[],5,FALSE),999)</f>
        <v>47</v>
      </c>
      <c r="J92" s="5">
        <f>IFERROR(VLOOKUP(U14MMWruns[[#This Row],[Card]],results0125[],4,FALSE),999)</f>
        <v>76</v>
      </c>
      <c r="K92" s="5">
        <f>IFERROR(VLOOKUP(U14MMWruns[[#This Row],[Card]],results0125[],5,FALSE),999)</f>
        <v>72</v>
      </c>
      <c r="L92" s="5">
        <f>IFERROR(VLOOKUP(U14MMWruns[[#This Row],[Card]],results0122[],3,FALSE),999)</f>
        <v>999</v>
      </c>
      <c r="M92" s="5">
        <f>VLOOKUP(U14MMWruns[[#This Row],[pos1.0124]],pointstable[],2,FALSE)</f>
        <v>0</v>
      </c>
      <c r="N92" s="5">
        <f>VLOOKUP(U14MMWruns[[#This Row],[POS2.0124]],pointstable[],2,FALSE)</f>
        <v>0</v>
      </c>
      <c r="O92" s="5">
        <f>VLOOKUP(U14MMWruns[[#This Row],[pos1.0140]],pointstable[],2,FALSE)</f>
        <v>0</v>
      </c>
      <c r="P92" s="5">
        <f>VLOOKUP(U14MMWruns[[#This Row],[pos2.0140]],pointstable[],2,FALSE)</f>
        <v>13</v>
      </c>
      <c r="Q92" s="5">
        <f>VLOOKUP(U14MMWruns[[#This Row],[pos1.0125]],pointstable[],2,FALSE)</f>
        <v>0</v>
      </c>
      <c r="R92" s="5">
        <f>VLOOKUP(U14MMWruns[[#This Row],[pos2.025]],pointstable[],2,FALSE)</f>
        <v>0</v>
      </c>
      <c r="S92" s="5">
        <f>VLOOKUP(U14MMWruns[[#This Row],[pos0122]],pointstable[],2,FALSE)</f>
        <v>0</v>
      </c>
    </row>
    <row r="93" spans="1:19" x14ac:dyDescent="0.25">
      <c r="A93">
        <v>80692</v>
      </c>
      <c r="B93" s="5" t="s">
        <v>317</v>
      </c>
      <c r="C93" s="5" t="s">
        <v>31</v>
      </c>
      <c r="D93" s="5">
        <v>5</v>
      </c>
      <c r="E93" s="5">
        <f>SUM(LARGE(M93:S93,{1,2,3,4,5}))</f>
        <v>12</v>
      </c>
      <c r="F93" s="5">
        <f>IFERROR(VLOOKUP(U14MMWruns[[#This Row],[Card]],results0124[],4,FALSE),999)</f>
        <v>94</v>
      </c>
      <c r="G93" s="5">
        <f>IFERROR(VLOOKUP(U14MMWruns[[#This Row],[Card]],results0124[],5,FALSE),999)</f>
        <v>84</v>
      </c>
      <c r="H93" s="5">
        <f>IFERROR(VLOOKUP(U14MMWruns[[#This Row],[Card]],results0140[],4,FALSE),999)</f>
        <v>61</v>
      </c>
      <c r="I93" s="5">
        <f>IFERROR(VLOOKUP(U14MMWruns[[#This Row],[Card]],results0140[],5,FALSE),999)</f>
        <v>48</v>
      </c>
      <c r="J93" s="5">
        <f>IFERROR(VLOOKUP(U14MMWruns[[#This Row],[Card]],results0125[],4,FALSE),999)</f>
        <v>78</v>
      </c>
      <c r="K93" s="5">
        <f>IFERROR(VLOOKUP(U14MMWruns[[#This Row],[Card]],results0125[],5,FALSE),999)</f>
        <v>77</v>
      </c>
      <c r="L93" s="5">
        <f>IFERROR(VLOOKUP(U14MMWruns[[#This Row],[Card]],results0122[],3,FALSE),999)</f>
        <v>999</v>
      </c>
      <c r="M93" s="5">
        <f>VLOOKUP(U14MMWruns[[#This Row],[pos1.0124]],pointstable[],2,FALSE)</f>
        <v>0</v>
      </c>
      <c r="N93" s="5">
        <f>VLOOKUP(U14MMWruns[[#This Row],[POS2.0124]],pointstable[],2,FALSE)</f>
        <v>0</v>
      </c>
      <c r="O93" s="5">
        <f>VLOOKUP(U14MMWruns[[#This Row],[pos1.0140]],pointstable[],2,FALSE)</f>
        <v>0</v>
      </c>
      <c r="P93" s="5">
        <f>VLOOKUP(U14MMWruns[[#This Row],[pos2.0140]],pointstable[],2,FALSE)</f>
        <v>12</v>
      </c>
      <c r="Q93" s="5">
        <f>VLOOKUP(U14MMWruns[[#This Row],[pos1.0125]],pointstable[],2,FALSE)</f>
        <v>0</v>
      </c>
      <c r="R93" s="5">
        <f>VLOOKUP(U14MMWruns[[#This Row],[pos2.025]],pointstable[],2,FALSE)</f>
        <v>0</v>
      </c>
      <c r="S93" s="5">
        <f>VLOOKUP(U14MMWruns[[#This Row],[pos0122]],pointstable[],2,FALSE)</f>
        <v>0</v>
      </c>
    </row>
    <row r="94" spans="1:19" x14ac:dyDescent="0.25">
      <c r="A94">
        <v>88391</v>
      </c>
      <c r="B94" s="5" t="s">
        <v>284</v>
      </c>
      <c r="C94" s="5" t="s">
        <v>155</v>
      </c>
      <c r="D94">
        <v>5</v>
      </c>
      <c r="E94" s="5">
        <f>SUM(LARGE(M94:S94,{1,2,3,4,5}))</f>
        <v>12</v>
      </c>
      <c r="F94" s="5">
        <f>IFERROR(VLOOKUP(U14MMWruns[[#This Row],[Card]],results0124[],4,FALSE),999)</f>
        <v>75</v>
      </c>
      <c r="G94" s="5">
        <f>IFERROR(VLOOKUP(U14MMWruns[[#This Row],[Card]],results0124[],5,FALSE),999)</f>
        <v>58</v>
      </c>
      <c r="H94" s="5">
        <f>IFERROR(VLOOKUP(U14MMWruns[[#This Row],[Card]],results0140[],4,FALSE),999)</f>
        <v>51</v>
      </c>
      <c r="I94" s="5">
        <f>IFERROR(VLOOKUP(U14MMWruns[[#This Row],[Card]],results0140[],5,FALSE),999)</f>
        <v>999</v>
      </c>
      <c r="J94" s="5">
        <f>IFERROR(VLOOKUP(U14MMWruns[[#This Row],[Card]],results0125[],4,FALSE),999)</f>
        <v>86</v>
      </c>
      <c r="K94" s="5">
        <f>IFERROR(VLOOKUP(U14MMWruns[[#This Row],[Card]],results0125[],5,FALSE),999)</f>
        <v>59</v>
      </c>
      <c r="L94" s="5">
        <f>IFERROR(VLOOKUP(U14MMWruns[[#This Row],[Card]],results0122[],3,FALSE),999)</f>
        <v>999</v>
      </c>
      <c r="M94" s="5">
        <f>VLOOKUP(U14MMWruns[[#This Row],[pos1.0124]],pointstable[],2,FALSE)</f>
        <v>0</v>
      </c>
      <c r="N94" s="5">
        <f>VLOOKUP(U14MMWruns[[#This Row],[POS2.0124]],pointstable[],2,FALSE)</f>
        <v>2</v>
      </c>
      <c r="O94" s="5">
        <f>VLOOKUP(U14MMWruns[[#This Row],[pos1.0140]],pointstable[],2,FALSE)</f>
        <v>9</v>
      </c>
      <c r="P94" s="5">
        <f>VLOOKUP(U14MMWruns[[#This Row],[pos2.0140]],pointstable[],2,FALSE)</f>
        <v>0</v>
      </c>
      <c r="Q94" s="5">
        <f>VLOOKUP(U14MMWruns[[#This Row],[pos1.0125]],pointstable[],2,FALSE)</f>
        <v>0</v>
      </c>
      <c r="R94" s="5">
        <f>VLOOKUP(U14MMWruns[[#This Row],[pos2.025]],pointstable[],2,FALSE)</f>
        <v>1</v>
      </c>
      <c r="S94" s="5">
        <f>VLOOKUP(U14MMWruns[[#This Row],[pos0122]],pointstable[],2,FALSE)</f>
        <v>0</v>
      </c>
    </row>
    <row r="95" spans="1:19" x14ac:dyDescent="0.25">
      <c r="A95">
        <v>81505</v>
      </c>
      <c r="B95" s="5" t="s">
        <v>315</v>
      </c>
      <c r="C95" s="5" t="s">
        <v>22</v>
      </c>
      <c r="D95" s="5">
        <v>5</v>
      </c>
      <c r="E95" s="5">
        <f>SUM(LARGE(M95:S95,{1,2,3,4,5}))</f>
        <v>11</v>
      </c>
      <c r="F95" s="5">
        <f>IFERROR(VLOOKUP(U14MMWruns[[#This Row],[Card]],results0124[],4,FALSE),999)</f>
        <v>91</v>
      </c>
      <c r="G95" s="5">
        <f>IFERROR(VLOOKUP(U14MMWruns[[#This Row],[Card]],results0124[],5,FALSE),999)</f>
        <v>85</v>
      </c>
      <c r="H95" s="5">
        <f>IFERROR(VLOOKUP(U14MMWruns[[#This Row],[Card]],results0140[],4,FALSE),999)</f>
        <v>63</v>
      </c>
      <c r="I95" s="5">
        <f>IFERROR(VLOOKUP(U14MMWruns[[#This Row],[Card]],results0140[],5,FALSE),999)</f>
        <v>49</v>
      </c>
      <c r="J95" s="5">
        <f>IFERROR(VLOOKUP(U14MMWruns[[#This Row],[Card]],results0125[],4,FALSE),999)</f>
        <v>74</v>
      </c>
      <c r="K95" s="5">
        <f>IFERROR(VLOOKUP(U14MMWruns[[#This Row],[Card]],results0125[],5,FALSE),999)</f>
        <v>84</v>
      </c>
      <c r="L95" s="5">
        <f>IFERROR(VLOOKUP(U14MMWruns[[#This Row],[Card]],results0122[],3,FALSE),999)</f>
        <v>999</v>
      </c>
      <c r="M95" s="5">
        <f>VLOOKUP(U14MMWruns[[#This Row],[pos1.0124]],pointstable[],2,FALSE)</f>
        <v>0</v>
      </c>
      <c r="N95" s="5">
        <f>VLOOKUP(U14MMWruns[[#This Row],[POS2.0124]],pointstable[],2,FALSE)</f>
        <v>0</v>
      </c>
      <c r="O95" s="5">
        <f>VLOOKUP(U14MMWruns[[#This Row],[pos1.0140]],pointstable[],2,FALSE)</f>
        <v>0</v>
      </c>
      <c r="P95" s="5">
        <f>VLOOKUP(U14MMWruns[[#This Row],[pos2.0140]],pointstable[],2,FALSE)</f>
        <v>11</v>
      </c>
      <c r="Q95" s="5">
        <f>VLOOKUP(U14MMWruns[[#This Row],[pos1.0125]],pointstable[],2,FALSE)</f>
        <v>0</v>
      </c>
      <c r="R95" s="5">
        <f>VLOOKUP(U14MMWruns[[#This Row],[pos2.025]],pointstable[],2,FALSE)</f>
        <v>0</v>
      </c>
      <c r="S95" s="5">
        <f>VLOOKUP(U14MMWruns[[#This Row],[pos0122]],pointstable[],2,FALSE)</f>
        <v>0</v>
      </c>
    </row>
    <row r="96" spans="1:19" x14ac:dyDescent="0.25">
      <c r="A96">
        <v>80662</v>
      </c>
      <c r="B96" t="s">
        <v>158</v>
      </c>
      <c r="C96" t="s">
        <v>61</v>
      </c>
      <c r="D96">
        <v>4</v>
      </c>
      <c r="E96" s="5">
        <f>SUM(LARGE(M96:S96,{1,2,3,4,5}))</f>
        <v>11</v>
      </c>
      <c r="F96" s="5">
        <f>IFERROR(VLOOKUP(U14MMWruns[[#This Row],[Card]],results0124[],4,FALSE),999)</f>
        <v>77</v>
      </c>
      <c r="G96" s="5">
        <f>IFERROR(VLOOKUP(U14MMWruns[[#This Row],[Card]],results0124[],5,FALSE),999)</f>
        <v>79</v>
      </c>
      <c r="H96" s="5">
        <f>IFERROR(VLOOKUP(U14MMWruns[[#This Row],[Card]],results0140[],4,FALSE),999)</f>
        <v>49</v>
      </c>
      <c r="I96" s="5">
        <f>IFERROR(VLOOKUP(U14MMWruns[[#This Row],[Card]],results0140[],5,FALSE),999)</f>
        <v>999</v>
      </c>
      <c r="J96" s="5">
        <f>IFERROR(VLOOKUP(U14MMWruns[[#This Row],[Card]],results0125[],4,FALSE),999)</f>
        <v>70</v>
      </c>
      <c r="K96" s="5">
        <f>IFERROR(VLOOKUP(U14MMWruns[[#This Row],[Card]],results0125[],5,FALSE),999)</f>
        <v>104</v>
      </c>
      <c r="L96" s="5">
        <f>IFERROR(VLOOKUP(U14MMWruns[[#This Row],[Card]],results0122[],3,FALSE),999)</f>
        <v>68</v>
      </c>
      <c r="M96" s="5">
        <f>VLOOKUP(U14MMWruns[[#This Row],[pos1.0124]],pointstable[],2,FALSE)</f>
        <v>0</v>
      </c>
      <c r="N96" s="5">
        <f>VLOOKUP(U14MMWruns[[#This Row],[POS2.0124]],pointstable[],2,FALSE)</f>
        <v>0</v>
      </c>
      <c r="O96" s="5">
        <f>VLOOKUP(U14MMWruns[[#This Row],[pos1.0140]],pointstable[],2,FALSE)</f>
        <v>11</v>
      </c>
      <c r="P96" s="5">
        <f>VLOOKUP(U14MMWruns[[#This Row],[pos2.0140]],pointstable[],2,FALSE)</f>
        <v>0</v>
      </c>
      <c r="Q96" s="5">
        <f>VLOOKUP(U14MMWruns[[#This Row],[pos1.0125]],pointstable[],2,FALSE)</f>
        <v>0</v>
      </c>
      <c r="R96" s="5">
        <f>VLOOKUP(U14MMWruns[[#This Row],[pos2.025]],pointstable[],2,FALSE)</f>
        <v>0</v>
      </c>
      <c r="S96" s="5">
        <f>VLOOKUP(U14MMWruns[[#This Row],[pos0122]],pointstable[],2,FALSE)</f>
        <v>0</v>
      </c>
    </row>
    <row r="97" spans="1:19" x14ac:dyDescent="0.25">
      <c r="A97">
        <v>78504</v>
      </c>
      <c r="B97" t="s">
        <v>210</v>
      </c>
      <c r="C97" t="s">
        <v>19</v>
      </c>
      <c r="D97">
        <v>5</v>
      </c>
      <c r="E97" s="5">
        <f>SUM(LARGE(M97:S97,{1,2,3,4,5}))</f>
        <v>8</v>
      </c>
      <c r="F97" s="5">
        <f>IFERROR(VLOOKUP(U14MMWruns[[#This Row],[Card]],results0124[],4,FALSE),999)</f>
        <v>90</v>
      </c>
      <c r="G97" s="5">
        <f>IFERROR(VLOOKUP(U14MMWruns[[#This Row],[Card]],results0124[],5,FALSE),999)</f>
        <v>86</v>
      </c>
      <c r="H97" s="5">
        <f>IFERROR(VLOOKUP(U14MMWruns[[#This Row],[Card]],results0140[],4,FALSE),999)</f>
        <v>65</v>
      </c>
      <c r="I97" s="5">
        <f>IFERROR(VLOOKUP(U14MMWruns[[#This Row],[Card]],results0140[],5,FALSE),999)</f>
        <v>52</v>
      </c>
      <c r="J97" s="5">
        <f>IFERROR(VLOOKUP(U14MMWruns[[#This Row],[Card]],results0125[],4,FALSE),999)</f>
        <v>93</v>
      </c>
      <c r="K97" s="5">
        <f>IFERROR(VLOOKUP(U14MMWruns[[#This Row],[Card]],results0125[],5,FALSE),999)</f>
        <v>90</v>
      </c>
      <c r="L97" s="5">
        <f>IFERROR(VLOOKUP(U14MMWruns[[#This Row],[Card]],results0122[],3,FALSE),999)</f>
        <v>95</v>
      </c>
      <c r="M97" s="5">
        <f>VLOOKUP(U14MMWruns[[#This Row],[pos1.0124]],pointstable[],2,FALSE)</f>
        <v>0</v>
      </c>
      <c r="N97" s="5">
        <f>VLOOKUP(U14MMWruns[[#This Row],[POS2.0124]],pointstable[],2,FALSE)</f>
        <v>0</v>
      </c>
      <c r="O97" s="5">
        <f>VLOOKUP(U14MMWruns[[#This Row],[pos1.0140]],pointstable[],2,FALSE)</f>
        <v>0</v>
      </c>
      <c r="P97" s="5">
        <f>VLOOKUP(U14MMWruns[[#This Row],[pos2.0140]],pointstable[],2,FALSE)</f>
        <v>8</v>
      </c>
      <c r="Q97" s="5">
        <f>VLOOKUP(U14MMWruns[[#This Row],[pos1.0125]],pointstable[],2,FALSE)</f>
        <v>0</v>
      </c>
      <c r="R97" s="5">
        <f>VLOOKUP(U14MMWruns[[#This Row],[pos2.025]],pointstable[],2,FALSE)</f>
        <v>0</v>
      </c>
      <c r="S97" s="5">
        <f>VLOOKUP(U14MMWruns[[#This Row],[pos0122]],pointstable[],2,FALSE)</f>
        <v>0</v>
      </c>
    </row>
    <row r="98" spans="1:19" x14ac:dyDescent="0.25">
      <c r="A98">
        <v>80835</v>
      </c>
      <c r="B98" s="5" t="s">
        <v>302</v>
      </c>
      <c r="C98" s="5" t="s">
        <v>54</v>
      </c>
      <c r="D98" s="5">
        <v>5</v>
      </c>
      <c r="E98" s="5">
        <f>SUM(LARGE(M98:S98,{1,2,3,4,5}))</f>
        <v>7</v>
      </c>
      <c r="F98" s="5">
        <f>IFERROR(VLOOKUP(U14MMWruns[[#This Row],[Card]],results0124[],4,FALSE),999)</f>
        <v>83</v>
      </c>
      <c r="G98" s="5">
        <f>IFERROR(VLOOKUP(U14MMWruns[[#This Row],[Card]],results0124[],5,FALSE),999)</f>
        <v>77</v>
      </c>
      <c r="H98" s="5">
        <f>IFERROR(VLOOKUP(U14MMWruns[[#This Row],[Card]],results0140[],4,FALSE),999)</f>
        <v>53</v>
      </c>
      <c r="I98" s="5">
        <f>IFERROR(VLOOKUP(U14MMWruns[[#This Row],[Card]],results0140[],5,FALSE),999)</f>
        <v>999</v>
      </c>
      <c r="J98" s="5">
        <f>IFERROR(VLOOKUP(U14MMWruns[[#This Row],[Card]],results0125[],4,FALSE),999)</f>
        <v>82</v>
      </c>
      <c r="K98" s="5">
        <f>IFERROR(VLOOKUP(U14MMWruns[[#This Row],[Card]],results0125[],5,FALSE),999)</f>
        <v>93</v>
      </c>
      <c r="L98" s="5">
        <f>IFERROR(VLOOKUP(U14MMWruns[[#This Row],[Card]],results0122[],3,FALSE),999)</f>
        <v>999</v>
      </c>
      <c r="M98" s="5">
        <f>VLOOKUP(U14MMWruns[[#This Row],[pos1.0124]],pointstable[],2,FALSE)</f>
        <v>0</v>
      </c>
      <c r="N98" s="5">
        <f>VLOOKUP(U14MMWruns[[#This Row],[POS2.0124]],pointstable[],2,FALSE)</f>
        <v>0</v>
      </c>
      <c r="O98" s="5">
        <f>VLOOKUP(U14MMWruns[[#This Row],[pos1.0140]],pointstable[],2,FALSE)</f>
        <v>7</v>
      </c>
      <c r="P98" s="5">
        <f>VLOOKUP(U14MMWruns[[#This Row],[pos2.0140]],pointstable[],2,FALSE)</f>
        <v>0</v>
      </c>
      <c r="Q98" s="5">
        <f>VLOOKUP(U14MMWruns[[#This Row],[pos1.0125]],pointstable[],2,FALSE)</f>
        <v>0</v>
      </c>
      <c r="R98" s="5">
        <f>VLOOKUP(U14MMWruns[[#This Row],[pos2.025]],pointstable[],2,FALSE)</f>
        <v>0</v>
      </c>
      <c r="S98" s="5">
        <f>VLOOKUP(U14MMWruns[[#This Row],[pos0122]],pointstable[],2,FALSE)</f>
        <v>0</v>
      </c>
    </row>
    <row r="99" spans="1:19" x14ac:dyDescent="0.25">
      <c r="A99">
        <v>82442</v>
      </c>
      <c r="B99" t="s">
        <v>204</v>
      </c>
      <c r="C99" t="s">
        <v>42</v>
      </c>
      <c r="D99">
        <v>5</v>
      </c>
      <c r="E99" s="5">
        <f>SUM(LARGE(M99:S99,{1,2,3,4,5}))</f>
        <v>6</v>
      </c>
      <c r="F99" s="5">
        <f>IFERROR(VLOOKUP(U14MMWruns[[#This Row],[Card]],results0124[],4,FALSE),999)</f>
        <v>99</v>
      </c>
      <c r="G99" s="5">
        <f>IFERROR(VLOOKUP(U14MMWruns[[#This Row],[Card]],results0124[],5,FALSE),999)</f>
        <v>91</v>
      </c>
      <c r="H99" s="5">
        <f>IFERROR(VLOOKUP(U14MMWruns[[#This Row],[Card]],results0140[],4,FALSE),999)</f>
        <v>66</v>
      </c>
      <c r="I99" s="5">
        <f>IFERROR(VLOOKUP(U14MMWruns[[#This Row],[Card]],results0140[],5,FALSE),999)</f>
        <v>54</v>
      </c>
      <c r="J99" s="5">
        <f>IFERROR(VLOOKUP(U14MMWruns[[#This Row],[Card]],results0125[],4,FALSE),999)</f>
        <v>92</v>
      </c>
      <c r="K99" s="5">
        <f>IFERROR(VLOOKUP(U14MMWruns[[#This Row],[Card]],results0125[],5,FALSE),999)</f>
        <v>89</v>
      </c>
      <c r="L99" s="5">
        <f>IFERROR(VLOOKUP(U14MMWruns[[#This Row],[Card]],results0122[],3,FALSE),999)</f>
        <v>92</v>
      </c>
      <c r="M99" s="5">
        <f>VLOOKUP(U14MMWruns[[#This Row],[pos1.0124]],pointstable[],2,FALSE)</f>
        <v>0</v>
      </c>
      <c r="N99" s="5">
        <f>VLOOKUP(U14MMWruns[[#This Row],[POS2.0124]],pointstable[],2,FALSE)</f>
        <v>0</v>
      </c>
      <c r="O99" s="5">
        <f>VLOOKUP(U14MMWruns[[#This Row],[pos1.0140]],pointstable[],2,FALSE)</f>
        <v>0</v>
      </c>
      <c r="P99" s="5">
        <f>VLOOKUP(U14MMWruns[[#This Row],[pos2.0140]],pointstable[],2,FALSE)</f>
        <v>6</v>
      </c>
      <c r="Q99" s="5">
        <f>VLOOKUP(U14MMWruns[[#This Row],[pos1.0125]],pointstable[],2,FALSE)</f>
        <v>0</v>
      </c>
      <c r="R99" s="5">
        <f>VLOOKUP(U14MMWruns[[#This Row],[pos2.025]],pointstable[],2,FALSE)</f>
        <v>0</v>
      </c>
      <c r="S99" s="5">
        <f>VLOOKUP(U14MMWruns[[#This Row],[pos0122]],pointstable[],2,FALSE)</f>
        <v>0</v>
      </c>
    </row>
    <row r="100" spans="1:19" x14ac:dyDescent="0.25">
      <c r="A100">
        <v>81736</v>
      </c>
      <c r="B100" t="s">
        <v>184</v>
      </c>
      <c r="C100" t="s">
        <v>31</v>
      </c>
      <c r="D100">
        <v>4</v>
      </c>
      <c r="E100" s="5">
        <f>SUM(LARGE(M100:S100,{1,2,3,4,5}))</f>
        <v>5</v>
      </c>
      <c r="F100" s="5">
        <f>IFERROR(VLOOKUP(U14MMWruns[[#This Row],[Card]],results0124[],4,FALSE),999)</f>
        <v>89</v>
      </c>
      <c r="G100" s="5">
        <f>IFERROR(VLOOKUP(U14MMWruns[[#This Row],[Card]],results0124[],5,FALSE),999)</f>
        <v>999</v>
      </c>
      <c r="H100" s="5">
        <f>IFERROR(VLOOKUP(U14MMWruns[[#This Row],[Card]],results0140[],4,FALSE),999)</f>
        <v>999</v>
      </c>
      <c r="I100" s="5">
        <f>IFERROR(VLOOKUP(U14MMWruns[[#This Row],[Card]],results0140[],5,FALSE),999)</f>
        <v>55</v>
      </c>
      <c r="J100" s="5">
        <f>IFERROR(VLOOKUP(U14MMWruns[[#This Row],[Card]],results0125[],4,FALSE),999)</f>
        <v>81</v>
      </c>
      <c r="K100" s="5">
        <f>IFERROR(VLOOKUP(U14MMWruns[[#This Row],[Card]],results0125[],5,FALSE),999)</f>
        <v>79</v>
      </c>
      <c r="L100" s="5">
        <f>IFERROR(VLOOKUP(U14MMWruns[[#This Row],[Card]],results0122[],3,FALSE),999)</f>
        <v>81</v>
      </c>
      <c r="M100" s="5">
        <f>VLOOKUP(U14MMWruns[[#This Row],[pos1.0124]],pointstable[],2,FALSE)</f>
        <v>0</v>
      </c>
      <c r="N100" s="5">
        <f>VLOOKUP(U14MMWruns[[#This Row],[POS2.0124]],pointstable[],2,FALSE)</f>
        <v>0</v>
      </c>
      <c r="O100" s="5">
        <f>VLOOKUP(U14MMWruns[[#This Row],[pos1.0140]],pointstable[],2,FALSE)</f>
        <v>0</v>
      </c>
      <c r="P100" s="5">
        <f>VLOOKUP(U14MMWruns[[#This Row],[pos2.0140]],pointstable[],2,FALSE)</f>
        <v>5</v>
      </c>
      <c r="Q100" s="5">
        <f>VLOOKUP(U14MMWruns[[#This Row],[pos1.0125]],pointstable[],2,FALSE)</f>
        <v>0</v>
      </c>
      <c r="R100" s="5">
        <f>VLOOKUP(U14MMWruns[[#This Row],[pos2.025]],pointstable[],2,FALSE)</f>
        <v>0</v>
      </c>
      <c r="S100" s="5">
        <f>VLOOKUP(U14MMWruns[[#This Row],[pos0122]],pointstable[],2,FALSE)</f>
        <v>0</v>
      </c>
    </row>
    <row r="101" spans="1:19" x14ac:dyDescent="0.25">
      <c r="A101">
        <v>85546</v>
      </c>
      <c r="B101" t="s">
        <v>221</v>
      </c>
      <c r="C101" t="s">
        <v>117</v>
      </c>
      <c r="D101">
        <v>4</v>
      </c>
      <c r="E101" s="5">
        <f>SUM(LARGE(M101:S101,{1,2,3,4,5}))</f>
        <v>4</v>
      </c>
      <c r="F101" s="5">
        <f>IFERROR(VLOOKUP(U14MMWruns[[#This Row],[Card]],results0124[],4,FALSE),999)</f>
        <v>999</v>
      </c>
      <c r="G101" s="5">
        <f>IFERROR(VLOOKUP(U14MMWruns[[#This Row],[Card]],results0124[],5,FALSE),999)</f>
        <v>64</v>
      </c>
      <c r="H101" s="5">
        <f>IFERROR(VLOOKUP(U14MMWruns[[#This Row],[Card]],results0140[],4,FALSE),999)</f>
        <v>56</v>
      </c>
      <c r="I101" s="5">
        <f>IFERROR(VLOOKUP(U14MMWruns[[#This Row],[Card]],results0140[],5,FALSE),999)</f>
        <v>999</v>
      </c>
      <c r="J101" s="5">
        <f>IFERROR(VLOOKUP(U14MMWruns[[#This Row],[Card]],results0125[],4,FALSE),999)</f>
        <v>94</v>
      </c>
      <c r="K101" s="5">
        <f>IFERROR(VLOOKUP(U14MMWruns[[#This Row],[Card]],results0125[],5,FALSE),999)</f>
        <v>88</v>
      </c>
      <c r="L101" s="5">
        <f>IFERROR(VLOOKUP(U14MMWruns[[#This Row],[Card]],results0122[],3,FALSE),999)</f>
        <v>999</v>
      </c>
      <c r="M101" s="5">
        <f>VLOOKUP(U14MMWruns[[#This Row],[pos1.0124]],pointstable[],2,FALSE)</f>
        <v>0</v>
      </c>
      <c r="N101" s="5">
        <f>VLOOKUP(U14MMWruns[[#This Row],[POS2.0124]],pointstable[],2,FALSE)</f>
        <v>0</v>
      </c>
      <c r="O101" s="5">
        <f>VLOOKUP(U14MMWruns[[#This Row],[pos1.0140]],pointstable[],2,FALSE)</f>
        <v>4</v>
      </c>
      <c r="P101" s="5">
        <f>VLOOKUP(U14MMWruns[[#This Row],[pos2.0140]],pointstable[],2,FALSE)</f>
        <v>0</v>
      </c>
      <c r="Q101" s="5">
        <f>VLOOKUP(U14MMWruns[[#This Row],[pos1.0125]],pointstable[],2,FALSE)</f>
        <v>0</v>
      </c>
      <c r="R101" s="5">
        <f>VLOOKUP(U14MMWruns[[#This Row],[pos2.025]],pointstable[],2,FALSE)</f>
        <v>0</v>
      </c>
      <c r="S101" s="5">
        <f>VLOOKUP(U14MMWruns[[#This Row],[pos0122]],pointstable[],2,FALSE)</f>
        <v>0</v>
      </c>
    </row>
    <row r="102" spans="1:19" x14ac:dyDescent="0.25">
      <c r="A102">
        <v>78414</v>
      </c>
      <c r="B102" t="s">
        <v>202</v>
      </c>
      <c r="C102" t="s">
        <v>155</v>
      </c>
      <c r="D102">
        <v>4</v>
      </c>
      <c r="E102" s="5">
        <f>SUM(LARGE(M102:S102,{1,2,3,4,5}))</f>
        <v>3</v>
      </c>
      <c r="F102" s="5">
        <f>IFERROR(VLOOKUP(U14MMWruns[[#This Row],[Card]],results0124[],4,FALSE),999)</f>
        <v>97</v>
      </c>
      <c r="G102" s="5">
        <f>IFERROR(VLOOKUP(U14MMWruns[[#This Row],[Card]],results0124[],5,FALSE),999)</f>
        <v>94</v>
      </c>
      <c r="H102" s="5">
        <f>IFERROR(VLOOKUP(U14MMWruns[[#This Row],[Card]],results0140[],4,FALSE),999)</f>
        <v>999</v>
      </c>
      <c r="I102" s="5">
        <f>IFERROR(VLOOKUP(U14MMWruns[[#This Row],[Card]],results0140[],5,FALSE),999)</f>
        <v>57</v>
      </c>
      <c r="J102" s="5">
        <f>IFERROR(VLOOKUP(U14MMWruns[[#This Row],[Card]],results0125[],4,FALSE),999)</f>
        <v>85</v>
      </c>
      <c r="K102" s="5">
        <f>IFERROR(VLOOKUP(U14MMWruns[[#This Row],[Card]],results0125[],5,FALSE),999)</f>
        <v>98</v>
      </c>
      <c r="L102" s="5">
        <f>IFERROR(VLOOKUP(U14MMWruns[[#This Row],[Card]],results0122[],3,FALSE),999)</f>
        <v>91</v>
      </c>
      <c r="M102" s="5">
        <f>VLOOKUP(U14MMWruns[[#This Row],[pos1.0124]],pointstable[],2,FALSE)</f>
        <v>0</v>
      </c>
      <c r="N102" s="5">
        <f>VLOOKUP(U14MMWruns[[#This Row],[POS2.0124]],pointstable[],2,FALSE)</f>
        <v>0</v>
      </c>
      <c r="O102" s="5">
        <f>VLOOKUP(U14MMWruns[[#This Row],[pos1.0140]],pointstable[],2,FALSE)</f>
        <v>0</v>
      </c>
      <c r="P102" s="5">
        <f>VLOOKUP(U14MMWruns[[#This Row],[pos2.0140]],pointstable[],2,FALSE)</f>
        <v>3</v>
      </c>
      <c r="Q102" s="5">
        <f>VLOOKUP(U14MMWruns[[#This Row],[pos1.0125]],pointstable[],2,FALSE)</f>
        <v>0</v>
      </c>
      <c r="R102" s="5">
        <f>VLOOKUP(U14MMWruns[[#This Row],[pos2.025]],pointstable[],2,FALSE)</f>
        <v>0</v>
      </c>
      <c r="S102" s="5">
        <f>VLOOKUP(U14MMWruns[[#This Row],[pos0122]],pointstable[],2,FALSE)</f>
        <v>0</v>
      </c>
    </row>
    <row r="103" spans="1:19" x14ac:dyDescent="0.25">
      <c r="A103" s="26">
        <v>78726</v>
      </c>
      <c r="B103" s="27" t="s">
        <v>322</v>
      </c>
      <c r="C103" s="27" t="s">
        <v>309</v>
      </c>
      <c r="D103" s="27">
        <v>4</v>
      </c>
      <c r="E103" s="5">
        <f>SUM(LARGE(M103:S103,{1,2,3,4,5}))</f>
        <v>3</v>
      </c>
      <c r="F103" s="5">
        <f>IFERROR(VLOOKUP(U14MMWruns[[#This Row],[Card]],results0124[],4,FALSE),999)</f>
        <v>100</v>
      </c>
      <c r="G103" s="5">
        <f>IFERROR(VLOOKUP(U14MMWruns[[#This Row],[Card]],results0124[],5,FALSE),999)</f>
        <v>95</v>
      </c>
      <c r="H103" s="5">
        <f>IFERROR(VLOOKUP(U14MMWruns[[#This Row],[Card]],results0140[],4,FALSE),999)</f>
        <v>57</v>
      </c>
      <c r="I103" s="5">
        <f>IFERROR(VLOOKUP(U14MMWruns[[#This Row],[Card]],results0140[],5,FALSE),999)</f>
        <v>999</v>
      </c>
      <c r="J103" s="5">
        <f>IFERROR(VLOOKUP(U14MMWruns[[#This Row],[Card]],results0125[],4,FALSE),999)</f>
        <v>87</v>
      </c>
      <c r="K103" s="5">
        <f>IFERROR(VLOOKUP(U14MMWruns[[#This Row],[Card]],results0125[],5,FALSE),999)</f>
        <v>97</v>
      </c>
      <c r="L103" s="5">
        <f>IFERROR(VLOOKUP(U14MMWruns[[#This Row],[Card]],results0122[],3,FALSE),999)</f>
        <v>999</v>
      </c>
      <c r="M103" s="5">
        <f>VLOOKUP(U14MMWruns[[#This Row],[pos1.0124]],pointstable[],2,FALSE)</f>
        <v>0</v>
      </c>
      <c r="N103" s="5">
        <f>VLOOKUP(U14MMWruns[[#This Row],[POS2.0124]],pointstable[],2,FALSE)</f>
        <v>0</v>
      </c>
      <c r="O103" s="5">
        <f>VLOOKUP(U14MMWruns[[#This Row],[pos1.0140]],pointstable[],2,FALSE)</f>
        <v>3</v>
      </c>
      <c r="P103" s="5">
        <f>VLOOKUP(U14MMWruns[[#This Row],[pos2.0140]],pointstable[],2,FALSE)</f>
        <v>0</v>
      </c>
      <c r="Q103" s="5">
        <f>VLOOKUP(U14MMWruns[[#This Row],[pos1.0125]],pointstable[],2,FALSE)</f>
        <v>0</v>
      </c>
      <c r="R103" s="5">
        <f>VLOOKUP(U14MMWruns[[#This Row],[pos2.025]],pointstable[],2,FALSE)</f>
        <v>0</v>
      </c>
      <c r="S103" s="5">
        <f>VLOOKUP(U14MMWruns[[#This Row],[pos0122]],pointstable[],2,FALSE)</f>
        <v>0</v>
      </c>
    </row>
    <row r="104" spans="1:19" x14ac:dyDescent="0.25">
      <c r="A104">
        <v>81801</v>
      </c>
      <c r="B104" t="s">
        <v>208</v>
      </c>
      <c r="C104" t="s">
        <v>61</v>
      </c>
      <c r="D104">
        <v>5</v>
      </c>
      <c r="E104" s="5">
        <f>SUM(LARGE(M104:S104,{1,2,3,4,5}))</f>
        <v>2</v>
      </c>
      <c r="F104" s="5">
        <f>IFERROR(VLOOKUP(U14MMWruns[[#This Row],[Card]],results0124[],4,FALSE),999)</f>
        <v>101</v>
      </c>
      <c r="G104" s="5">
        <f>IFERROR(VLOOKUP(U14MMWruns[[#This Row],[Card]],results0124[],5,FALSE),999)</f>
        <v>93</v>
      </c>
      <c r="H104" s="5">
        <f>IFERROR(VLOOKUP(U14MMWruns[[#This Row],[Card]],results0140[],4,FALSE),999)</f>
        <v>70</v>
      </c>
      <c r="I104" s="5">
        <f>IFERROR(VLOOKUP(U14MMWruns[[#This Row],[Card]],results0140[],5,FALSE),999)</f>
        <v>58</v>
      </c>
      <c r="J104" s="5">
        <f>IFERROR(VLOOKUP(U14MMWruns[[#This Row],[Card]],results0125[],4,FALSE),999)</f>
        <v>97</v>
      </c>
      <c r="K104" s="5">
        <f>IFERROR(VLOOKUP(U14MMWruns[[#This Row],[Card]],results0125[],5,FALSE),999)</f>
        <v>99</v>
      </c>
      <c r="L104" s="5">
        <f>IFERROR(VLOOKUP(U14MMWruns[[#This Row],[Card]],results0122[],3,FALSE),999)</f>
        <v>94</v>
      </c>
      <c r="M104" s="5">
        <f>VLOOKUP(U14MMWruns[[#This Row],[pos1.0124]],pointstable[],2,FALSE)</f>
        <v>0</v>
      </c>
      <c r="N104" s="5">
        <f>VLOOKUP(U14MMWruns[[#This Row],[POS2.0124]],pointstable[],2,FALSE)</f>
        <v>0</v>
      </c>
      <c r="O104" s="5">
        <f>VLOOKUP(U14MMWruns[[#This Row],[pos1.0140]],pointstable[],2,FALSE)</f>
        <v>0</v>
      </c>
      <c r="P104" s="5">
        <f>VLOOKUP(U14MMWruns[[#This Row],[pos2.0140]],pointstable[],2,FALSE)</f>
        <v>2</v>
      </c>
      <c r="Q104" s="5">
        <f>VLOOKUP(U14MMWruns[[#This Row],[pos1.0125]],pointstable[],2,FALSE)</f>
        <v>0</v>
      </c>
      <c r="R104" s="5">
        <f>VLOOKUP(U14MMWruns[[#This Row],[pos2.025]],pointstable[],2,FALSE)</f>
        <v>0</v>
      </c>
      <c r="S104" s="5">
        <f>VLOOKUP(U14MMWruns[[#This Row],[pos0122]],pointstable[],2,FALSE)</f>
        <v>0</v>
      </c>
    </row>
    <row r="105" spans="1:19" x14ac:dyDescent="0.25">
      <c r="A105">
        <v>89505</v>
      </c>
      <c r="B105" t="s">
        <v>387</v>
      </c>
      <c r="C105" t="s">
        <v>388</v>
      </c>
      <c r="D105" s="5">
        <v>5</v>
      </c>
      <c r="E105" s="5">
        <f>SUM(LARGE(M105:S105,{1,2,3,4,5}))</f>
        <v>2</v>
      </c>
      <c r="F105" s="5">
        <f>IFERROR(VLOOKUP(U14MMWruns[[#This Row],[Card]],results0124[],4,FALSE),999)</f>
        <v>999</v>
      </c>
      <c r="G105" s="5">
        <f>IFERROR(VLOOKUP(U14MMWruns[[#This Row],[Card]],results0124[],5,FALSE),999)</f>
        <v>999</v>
      </c>
      <c r="H105" s="5">
        <f>IFERROR(VLOOKUP(U14MMWruns[[#This Row],[Card]],results0140[],4,FALSE),999)</f>
        <v>59</v>
      </c>
      <c r="I105" s="5">
        <f>IFERROR(VLOOKUP(U14MMWruns[[#This Row],[Card]],results0140[],5,FALSE),999)</f>
        <v>999</v>
      </c>
      <c r="J105" s="5">
        <f>IFERROR(VLOOKUP(U14MMWruns[[#This Row],[Card]],results0125[],4,FALSE),999)</f>
        <v>60</v>
      </c>
      <c r="K105" s="5">
        <f>IFERROR(VLOOKUP(U14MMWruns[[#This Row],[Card]],results0125[],5,FALSE),999)</f>
        <v>80</v>
      </c>
      <c r="L105" s="5">
        <f>IFERROR(VLOOKUP(U14MMWruns[[#This Row],[Card]],results0122[],3,FALSE),999)</f>
        <v>999</v>
      </c>
      <c r="M105" s="5">
        <f>VLOOKUP(U14MMWruns[[#This Row],[pos1.0124]],pointstable[],2,FALSE)</f>
        <v>0</v>
      </c>
      <c r="N105" s="5">
        <f>VLOOKUP(U14MMWruns[[#This Row],[POS2.0124]],pointstable[],2,FALSE)</f>
        <v>0</v>
      </c>
      <c r="O105" s="5">
        <f>VLOOKUP(U14MMWruns[[#This Row],[pos1.0140]],pointstable[],2,FALSE)</f>
        <v>1</v>
      </c>
      <c r="P105" s="5">
        <f>VLOOKUP(U14MMWruns[[#This Row],[pos2.0140]],pointstable[],2,FALSE)</f>
        <v>0</v>
      </c>
      <c r="Q105" s="5">
        <f>VLOOKUP(U14MMWruns[[#This Row],[pos1.0125]],pointstable[],2,FALSE)</f>
        <v>1</v>
      </c>
      <c r="R105" s="5">
        <f>VLOOKUP(U14MMWruns[[#This Row],[pos2.025]],pointstable[],2,FALSE)</f>
        <v>0</v>
      </c>
      <c r="S105" s="5">
        <f>VLOOKUP(U14MMWruns[[#This Row],[pos0122]],pointstable[],2,FALSE)</f>
        <v>0</v>
      </c>
    </row>
    <row r="106" spans="1:19" x14ac:dyDescent="0.25">
      <c r="A106">
        <v>81081</v>
      </c>
      <c r="B106" t="s">
        <v>330</v>
      </c>
      <c r="C106" t="s">
        <v>31</v>
      </c>
      <c r="D106" s="5">
        <v>5</v>
      </c>
      <c r="E106" s="5">
        <f>SUM(LARGE(M106:S106,{1,2,3,4,5}))</f>
        <v>2</v>
      </c>
      <c r="F106" s="5">
        <f>IFERROR(VLOOKUP(U14MMWruns[[#This Row],[Card]],results0124[],4,FALSE),999)</f>
        <v>85</v>
      </c>
      <c r="G106" s="5">
        <f>IFERROR(VLOOKUP(U14MMWruns[[#This Row],[Card]],results0124[],5,FALSE),999)</f>
        <v>999</v>
      </c>
      <c r="H106" s="5">
        <f>IFERROR(VLOOKUP(U14MMWruns[[#This Row],[Card]],results0140[],4,FALSE),999)</f>
        <v>58</v>
      </c>
      <c r="I106" s="5">
        <f>IFERROR(VLOOKUP(U14MMWruns[[#This Row],[Card]],results0140[],5,FALSE),999)</f>
        <v>999</v>
      </c>
      <c r="J106" s="5">
        <f>IFERROR(VLOOKUP(U14MMWruns[[#This Row],[Card]],results0125[],4,FALSE),999)</f>
        <v>90</v>
      </c>
      <c r="K106" s="5">
        <f>IFERROR(VLOOKUP(U14MMWruns[[#This Row],[Card]],results0125[],5,FALSE),999)</f>
        <v>76</v>
      </c>
      <c r="L106" s="5">
        <f>IFERROR(VLOOKUP(U14MMWruns[[#This Row],[Card]],results0122[],3,FALSE),999)</f>
        <v>999</v>
      </c>
      <c r="M106" s="5">
        <f>VLOOKUP(U14MMWruns[[#This Row],[pos1.0124]],pointstable[],2,FALSE)</f>
        <v>0</v>
      </c>
      <c r="N106" s="5">
        <f>VLOOKUP(U14MMWruns[[#This Row],[POS2.0124]],pointstable[],2,FALSE)</f>
        <v>0</v>
      </c>
      <c r="O106" s="5">
        <f>VLOOKUP(U14MMWruns[[#This Row],[pos1.0140]],pointstable[],2,FALSE)</f>
        <v>2</v>
      </c>
      <c r="P106" s="5">
        <f>VLOOKUP(U14MMWruns[[#This Row],[pos2.0140]],pointstable[],2,FALSE)</f>
        <v>0</v>
      </c>
      <c r="Q106" s="5">
        <f>VLOOKUP(U14MMWruns[[#This Row],[pos1.0125]],pointstable[],2,FALSE)</f>
        <v>0</v>
      </c>
      <c r="R106" s="5">
        <f>VLOOKUP(U14MMWruns[[#This Row],[pos2.025]],pointstable[],2,FALSE)</f>
        <v>0</v>
      </c>
      <c r="S106" s="5">
        <f>VLOOKUP(U14MMWruns[[#This Row],[pos0122]],pointstable[],2,FALSE)</f>
        <v>0</v>
      </c>
    </row>
    <row r="107" spans="1:19" x14ac:dyDescent="0.25">
      <c r="A107">
        <v>81781</v>
      </c>
      <c r="B107" t="s">
        <v>200</v>
      </c>
      <c r="C107" t="s">
        <v>38</v>
      </c>
      <c r="D107">
        <v>5</v>
      </c>
      <c r="E107" s="5">
        <f>SUM(LARGE(M107:S107,{1,2,3,4,5}))</f>
        <v>1</v>
      </c>
      <c r="F107" s="5">
        <f>IFERROR(VLOOKUP(U14MMWruns[[#This Row],[Card]],results0124[],4,FALSE),999)</f>
        <v>98</v>
      </c>
      <c r="G107" s="5">
        <f>IFERROR(VLOOKUP(U14MMWruns[[#This Row],[Card]],results0124[],5,FALSE),999)</f>
        <v>999</v>
      </c>
      <c r="H107" s="5">
        <f>IFERROR(VLOOKUP(U14MMWruns[[#This Row],[Card]],results0140[],4,FALSE),999)</f>
        <v>60</v>
      </c>
      <c r="I107" s="5">
        <f>IFERROR(VLOOKUP(U14MMWruns[[#This Row],[Card]],results0140[],5,FALSE),999)</f>
        <v>999</v>
      </c>
      <c r="J107" s="5">
        <f>IFERROR(VLOOKUP(U14MMWruns[[#This Row],[Card]],results0125[],4,FALSE),999)</f>
        <v>96</v>
      </c>
      <c r="K107" s="5">
        <f>IFERROR(VLOOKUP(U14MMWruns[[#This Row],[Card]],results0125[],5,FALSE),999)</f>
        <v>94</v>
      </c>
      <c r="L107" s="5">
        <f>IFERROR(VLOOKUP(U14MMWruns[[#This Row],[Card]],results0122[],3,FALSE),999)</f>
        <v>90</v>
      </c>
      <c r="M107" s="5">
        <f>VLOOKUP(U14MMWruns[[#This Row],[pos1.0124]],pointstable[],2,FALSE)</f>
        <v>0</v>
      </c>
      <c r="N107" s="5">
        <f>VLOOKUP(U14MMWruns[[#This Row],[POS2.0124]],pointstable[],2,FALSE)</f>
        <v>0</v>
      </c>
      <c r="O107" s="5">
        <f>VLOOKUP(U14MMWruns[[#This Row],[pos1.0140]],pointstable[],2,FALSE)</f>
        <v>1</v>
      </c>
      <c r="P107" s="5">
        <f>VLOOKUP(U14MMWruns[[#This Row],[pos2.0140]],pointstable[],2,FALSE)</f>
        <v>0</v>
      </c>
      <c r="Q107" s="5">
        <f>VLOOKUP(U14MMWruns[[#This Row],[pos1.0125]],pointstable[],2,FALSE)</f>
        <v>0</v>
      </c>
      <c r="R107" s="5">
        <f>VLOOKUP(U14MMWruns[[#This Row],[pos2.025]],pointstable[],2,FALSE)</f>
        <v>0</v>
      </c>
      <c r="S107" s="5">
        <f>VLOOKUP(U14MMWruns[[#This Row],[pos0122]],pointstable[],2,FALSE)</f>
        <v>0</v>
      </c>
    </row>
    <row r="108" spans="1:19" x14ac:dyDescent="0.25">
      <c r="A108">
        <v>81880</v>
      </c>
      <c r="B108" t="s">
        <v>212</v>
      </c>
      <c r="C108" t="s">
        <v>61</v>
      </c>
      <c r="D108">
        <v>5</v>
      </c>
      <c r="E108" s="5">
        <f>SUM(LARGE(M108:S108,{1,2,3,4,5}))</f>
        <v>0</v>
      </c>
      <c r="F108" s="5">
        <f>IFERROR(VLOOKUP(U14MMWruns[[#This Row],[Card]],results0124[],4,FALSE),999)</f>
        <v>104</v>
      </c>
      <c r="G108" s="5">
        <f>IFERROR(VLOOKUP(U14MMWruns[[#This Row],[Card]],results0124[],5,FALSE),999)</f>
        <v>96</v>
      </c>
      <c r="H108" s="5">
        <f>IFERROR(VLOOKUP(U14MMWruns[[#This Row],[Card]],results0140[],4,FALSE),999)</f>
        <v>71</v>
      </c>
      <c r="I108" s="5">
        <f>IFERROR(VLOOKUP(U14MMWruns[[#This Row],[Card]],results0140[],5,FALSE),999)</f>
        <v>999</v>
      </c>
      <c r="J108" s="5">
        <f>IFERROR(VLOOKUP(U14MMWruns[[#This Row],[Card]],results0125[],4,FALSE),999)</f>
        <v>99</v>
      </c>
      <c r="K108" s="5">
        <f>IFERROR(VLOOKUP(U14MMWruns[[#This Row],[Card]],results0125[],5,FALSE),999)</f>
        <v>100</v>
      </c>
      <c r="L108" s="5">
        <f>IFERROR(VLOOKUP(U14MMWruns[[#This Row],[Card]],results0122[],3,FALSE),999)</f>
        <v>96</v>
      </c>
      <c r="M108" s="5">
        <f>VLOOKUP(U14MMWruns[[#This Row],[pos1.0124]],pointstable[],2,FALSE)</f>
        <v>0</v>
      </c>
      <c r="N108" s="5">
        <f>VLOOKUP(U14MMWruns[[#This Row],[POS2.0124]],pointstable[],2,FALSE)</f>
        <v>0</v>
      </c>
      <c r="O108" s="5">
        <f>VLOOKUP(U14MMWruns[[#This Row],[pos1.0140]],pointstable[],2,FALSE)</f>
        <v>0</v>
      </c>
      <c r="P108" s="5">
        <f>VLOOKUP(U14MMWruns[[#This Row],[pos2.0140]],pointstable[],2,FALSE)</f>
        <v>0</v>
      </c>
      <c r="Q108" s="5">
        <f>VLOOKUP(U14MMWruns[[#This Row],[pos1.0125]],pointstable[],2,FALSE)</f>
        <v>0</v>
      </c>
      <c r="R108" s="5">
        <f>VLOOKUP(U14MMWruns[[#This Row],[pos2.025]],pointstable[],2,FALSE)</f>
        <v>0</v>
      </c>
      <c r="S108" s="5">
        <f>VLOOKUP(U14MMWruns[[#This Row],[pos0122]],pointstable[],2,FALSE)</f>
        <v>0</v>
      </c>
    </row>
    <row r="109" spans="1:19" x14ac:dyDescent="0.25">
      <c r="A109">
        <v>84692</v>
      </c>
      <c r="B109" t="s">
        <v>173</v>
      </c>
      <c r="C109" t="s">
        <v>22</v>
      </c>
      <c r="D109">
        <v>4</v>
      </c>
      <c r="E109" s="5">
        <f>SUM(LARGE(M109:S109,{1,2,3,4,5}))</f>
        <v>0</v>
      </c>
      <c r="F109" s="5">
        <f>IFERROR(VLOOKUP(U14MMWruns[[#This Row],[Card]],results0124[],4,FALSE),999)</f>
        <v>66</v>
      </c>
      <c r="G109" s="5">
        <f>IFERROR(VLOOKUP(U14MMWruns[[#This Row],[Card]],results0124[],5,FALSE),999)</f>
        <v>67</v>
      </c>
      <c r="H109" s="5">
        <f>IFERROR(VLOOKUP(U14MMWruns[[#This Row],[Card]],results0140[],4,FALSE),999)</f>
        <v>999</v>
      </c>
      <c r="I109" s="5">
        <f>IFERROR(VLOOKUP(U14MMWruns[[#This Row],[Card]],results0140[],5,FALSE),999)</f>
        <v>999</v>
      </c>
      <c r="J109" s="5">
        <f>IFERROR(VLOOKUP(U14MMWruns[[#This Row],[Card]],results0125[],4,FALSE),999)</f>
        <v>79</v>
      </c>
      <c r="K109" s="5">
        <f>IFERROR(VLOOKUP(U14MMWruns[[#This Row],[Card]],results0125[],5,FALSE),999)</f>
        <v>999</v>
      </c>
      <c r="L109" s="5">
        <f>IFERROR(VLOOKUP(U14MMWruns[[#This Row],[Card]],results0122[],3,FALSE),999)</f>
        <v>75</v>
      </c>
      <c r="M109" s="5">
        <f>VLOOKUP(U14MMWruns[[#This Row],[pos1.0124]],pointstable[],2,FALSE)</f>
        <v>0</v>
      </c>
      <c r="N109" s="5">
        <f>VLOOKUP(U14MMWruns[[#This Row],[POS2.0124]],pointstable[],2,FALSE)</f>
        <v>0</v>
      </c>
      <c r="O109" s="5">
        <f>VLOOKUP(U14MMWruns[[#This Row],[pos1.0140]],pointstable[],2,FALSE)</f>
        <v>0</v>
      </c>
      <c r="P109" s="5">
        <f>VLOOKUP(U14MMWruns[[#This Row],[pos2.0140]],pointstable[],2,FALSE)</f>
        <v>0</v>
      </c>
      <c r="Q109" s="5">
        <f>VLOOKUP(U14MMWruns[[#This Row],[pos1.0125]],pointstable[],2,FALSE)</f>
        <v>0</v>
      </c>
      <c r="R109" s="5">
        <f>VLOOKUP(U14MMWruns[[#This Row],[pos2.025]],pointstable[],2,FALSE)</f>
        <v>0</v>
      </c>
      <c r="S109" s="5">
        <f>VLOOKUP(U14MMWruns[[#This Row],[pos0122]],pointstable[],2,FALSE)</f>
        <v>0</v>
      </c>
    </row>
    <row r="110" spans="1:19" x14ac:dyDescent="0.25">
      <c r="A110">
        <v>81740</v>
      </c>
      <c r="B110" t="s">
        <v>160</v>
      </c>
      <c r="C110" t="s">
        <v>31</v>
      </c>
      <c r="D110">
        <v>4</v>
      </c>
      <c r="E110" s="5">
        <f>SUM(LARGE(M110:S110,{1,2,3,4,5}))</f>
        <v>0</v>
      </c>
      <c r="F110" s="5">
        <f>IFERROR(VLOOKUP(U14MMWruns[[#This Row],[Card]],results0124[],4,FALSE),999)</f>
        <v>999</v>
      </c>
      <c r="G110" s="5">
        <f>IFERROR(VLOOKUP(U14MMWruns[[#This Row],[Card]],results0124[],5,FALSE),999)</f>
        <v>999</v>
      </c>
      <c r="H110" s="5">
        <f>IFERROR(VLOOKUP(U14MMWruns[[#This Row],[Card]],results0140[],4,FALSE),999)</f>
        <v>999</v>
      </c>
      <c r="I110" s="5">
        <f>IFERROR(VLOOKUP(U14MMWruns[[#This Row],[Card]],results0140[],5,FALSE),999)</f>
        <v>999</v>
      </c>
      <c r="J110" s="5">
        <f>IFERROR(VLOOKUP(U14MMWruns[[#This Row],[Card]],results0125[],4,FALSE),999)</f>
        <v>999</v>
      </c>
      <c r="K110" s="5">
        <f>IFERROR(VLOOKUP(U14MMWruns[[#This Row],[Card]],results0125[],5,FALSE),999)</f>
        <v>999</v>
      </c>
      <c r="L110" s="5">
        <f>IFERROR(VLOOKUP(U14MMWruns[[#This Row],[Card]],results0122[],3,FALSE),999)</f>
        <v>69</v>
      </c>
      <c r="M110" s="5">
        <f>VLOOKUP(U14MMWruns[[#This Row],[pos1.0124]],pointstable[],2,FALSE)</f>
        <v>0</v>
      </c>
      <c r="N110" s="5">
        <f>VLOOKUP(U14MMWruns[[#This Row],[POS2.0124]],pointstable[],2,FALSE)</f>
        <v>0</v>
      </c>
      <c r="O110" s="5">
        <f>VLOOKUP(U14MMWruns[[#This Row],[pos1.0140]],pointstable[],2,FALSE)</f>
        <v>0</v>
      </c>
      <c r="P110" s="5">
        <f>VLOOKUP(U14MMWruns[[#This Row],[pos2.0140]],pointstable[],2,FALSE)</f>
        <v>0</v>
      </c>
      <c r="Q110" s="5">
        <f>VLOOKUP(U14MMWruns[[#This Row],[pos1.0125]],pointstable[],2,FALSE)</f>
        <v>0</v>
      </c>
      <c r="R110" s="5">
        <f>VLOOKUP(U14MMWruns[[#This Row],[pos2.025]],pointstable[],2,FALSE)</f>
        <v>0</v>
      </c>
      <c r="S110" s="5">
        <f>VLOOKUP(U14MMWruns[[#This Row],[pos0122]],pointstable[],2,FALSE)</f>
        <v>0</v>
      </c>
    </row>
    <row r="111" spans="1:19" x14ac:dyDescent="0.25">
      <c r="A111">
        <v>88381</v>
      </c>
      <c r="B111" t="s">
        <v>181</v>
      </c>
      <c r="C111" t="s">
        <v>47</v>
      </c>
      <c r="D111">
        <v>5</v>
      </c>
      <c r="E111" s="5">
        <f>SUM(LARGE(M111:S111,{1,2,3,4,5}))</f>
        <v>0</v>
      </c>
      <c r="F111" s="5">
        <f>IFERROR(VLOOKUP(U14MMWruns[[#This Row],[Card]],results0124[],4,FALSE),999)</f>
        <v>84</v>
      </c>
      <c r="G111" s="5">
        <f>IFERROR(VLOOKUP(U14MMWruns[[#This Row],[Card]],results0124[],5,FALSE),999)</f>
        <v>88</v>
      </c>
      <c r="H111" s="5">
        <f>IFERROR(VLOOKUP(U14MMWruns[[#This Row],[Card]],results0140[],4,FALSE),999)</f>
        <v>67</v>
      </c>
      <c r="I111" s="5">
        <f>IFERROR(VLOOKUP(U14MMWruns[[#This Row],[Card]],results0140[],5,FALSE),999)</f>
        <v>999</v>
      </c>
      <c r="J111" s="5">
        <f>IFERROR(VLOOKUP(U14MMWruns[[#This Row],[Card]],results0125[],4,FALSE),999)</f>
        <v>95</v>
      </c>
      <c r="K111" s="5">
        <f>IFERROR(VLOOKUP(U14MMWruns[[#This Row],[Card]],results0125[],5,FALSE),999)</f>
        <v>94</v>
      </c>
      <c r="L111" s="5">
        <f>IFERROR(VLOOKUP(U14MMWruns[[#This Row],[Card]],results0122[],3,FALSE),999)</f>
        <v>78</v>
      </c>
      <c r="M111" s="5">
        <f>VLOOKUP(U14MMWruns[[#This Row],[pos1.0124]],pointstable[],2,FALSE)</f>
        <v>0</v>
      </c>
      <c r="N111" s="5">
        <f>VLOOKUP(U14MMWruns[[#This Row],[POS2.0124]],pointstable[],2,FALSE)</f>
        <v>0</v>
      </c>
      <c r="O111" s="5">
        <f>VLOOKUP(U14MMWruns[[#This Row],[pos1.0140]],pointstable[],2,FALSE)</f>
        <v>0</v>
      </c>
      <c r="P111" s="5">
        <f>VLOOKUP(U14MMWruns[[#This Row],[pos2.0140]],pointstable[],2,FALSE)</f>
        <v>0</v>
      </c>
      <c r="Q111" s="5">
        <f>VLOOKUP(U14MMWruns[[#This Row],[pos1.0125]],pointstable[],2,FALSE)</f>
        <v>0</v>
      </c>
      <c r="R111" s="5">
        <f>VLOOKUP(U14MMWruns[[#This Row],[pos2.025]],pointstable[],2,FALSE)</f>
        <v>0</v>
      </c>
      <c r="S111" s="5">
        <f>VLOOKUP(U14MMWruns[[#This Row],[pos0122]],pointstable[],2,FALSE)</f>
        <v>0</v>
      </c>
    </row>
    <row r="112" spans="1:19" x14ac:dyDescent="0.25">
      <c r="A112">
        <v>82224</v>
      </c>
      <c r="B112" t="s">
        <v>190</v>
      </c>
      <c r="C112" t="s">
        <v>101</v>
      </c>
      <c r="D112">
        <v>4</v>
      </c>
      <c r="E112" s="5">
        <f>SUM(LARGE(M112:S112,{1,2,3,4,5}))</f>
        <v>0</v>
      </c>
      <c r="F112" s="5">
        <f>IFERROR(VLOOKUP(U14MMWruns[[#This Row],[Card]],results0124[],4,FALSE),999)</f>
        <v>999</v>
      </c>
      <c r="G112" s="5">
        <f>IFERROR(VLOOKUP(U14MMWruns[[#This Row],[Card]],results0124[],5,FALSE),999)</f>
        <v>999</v>
      </c>
      <c r="H112" s="5">
        <f>IFERROR(VLOOKUP(U14MMWruns[[#This Row],[Card]],results0140[],4,FALSE),999)</f>
        <v>999</v>
      </c>
      <c r="I112" s="5">
        <f>IFERROR(VLOOKUP(U14MMWruns[[#This Row],[Card]],results0140[],5,FALSE),999)</f>
        <v>999</v>
      </c>
      <c r="J112" s="5">
        <f>IFERROR(VLOOKUP(U14MMWruns[[#This Row],[Card]],results0125[],4,FALSE),999)</f>
        <v>999</v>
      </c>
      <c r="K112" s="5">
        <f>IFERROR(VLOOKUP(U14MMWruns[[#This Row],[Card]],results0125[],5,FALSE),999)</f>
        <v>999</v>
      </c>
      <c r="L112" s="5">
        <f>IFERROR(VLOOKUP(U14MMWruns[[#This Row],[Card]],results0122[],3,FALSE),999)</f>
        <v>83</v>
      </c>
      <c r="M112" s="5">
        <f>VLOOKUP(U14MMWruns[[#This Row],[pos1.0124]],pointstable[],2,FALSE)</f>
        <v>0</v>
      </c>
      <c r="N112" s="5">
        <f>VLOOKUP(U14MMWruns[[#This Row],[POS2.0124]],pointstable[],2,FALSE)</f>
        <v>0</v>
      </c>
      <c r="O112" s="5">
        <f>VLOOKUP(U14MMWruns[[#This Row],[pos1.0140]],pointstable[],2,FALSE)</f>
        <v>0</v>
      </c>
      <c r="P112" s="5">
        <f>VLOOKUP(U14MMWruns[[#This Row],[pos2.0140]],pointstable[],2,FALSE)</f>
        <v>0</v>
      </c>
      <c r="Q112" s="5">
        <f>VLOOKUP(U14MMWruns[[#This Row],[pos1.0125]],pointstable[],2,FALSE)</f>
        <v>0</v>
      </c>
      <c r="R112" s="5">
        <f>VLOOKUP(U14MMWruns[[#This Row],[pos2.025]],pointstable[],2,FALSE)</f>
        <v>0</v>
      </c>
      <c r="S112" s="5">
        <f>VLOOKUP(U14MMWruns[[#This Row],[pos0122]],pointstable[],2,FALSE)</f>
        <v>0</v>
      </c>
    </row>
    <row r="113" spans="1:19" x14ac:dyDescent="0.25">
      <c r="A113">
        <v>78783</v>
      </c>
      <c r="B113" t="s">
        <v>198</v>
      </c>
      <c r="C113" t="s">
        <v>47</v>
      </c>
      <c r="D113">
        <v>5</v>
      </c>
      <c r="E113" s="5">
        <f>SUM(LARGE(M113:S113,{1,2,3,4,5}))</f>
        <v>0</v>
      </c>
      <c r="F113" s="5">
        <f>IFERROR(VLOOKUP(U14MMWruns[[#This Row],[Card]],results0124[],4,FALSE),999)</f>
        <v>80</v>
      </c>
      <c r="G113" s="5">
        <f>IFERROR(VLOOKUP(U14MMWruns[[#This Row],[Card]],results0124[],5,FALSE),999)</f>
        <v>69</v>
      </c>
      <c r="H113" s="5">
        <f>IFERROR(VLOOKUP(U14MMWruns[[#This Row],[Card]],results0140[],4,FALSE),999)</f>
        <v>999</v>
      </c>
      <c r="I113" s="5">
        <f>IFERROR(VLOOKUP(U14MMWruns[[#This Row],[Card]],results0140[],5,FALSE),999)</f>
        <v>999</v>
      </c>
      <c r="J113" s="5">
        <f>IFERROR(VLOOKUP(U14MMWruns[[#This Row],[Card]],results0125[],4,FALSE),999)</f>
        <v>75</v>
      </c>
      <c r="K113" s="5">
        <f>IFERROR(VLOOKUP(U14MMWruns[[#This Row],[Card]],results0125[],5,FALSE),999)</f>
        <v>74</v>
      </c>
      <c r="L113" s="5">
        <f>IFERROR(VLOOKUP(U14MMWruns[[#This Row],[Card]],results0122[],3,FALSE),999)</f>
        <v>89</v>
      </c>
      <c r="M113" s="5">
        <f>VLOOKUP(U14MMWruns[[#This Row],[pos1.0124]],pointstable[],2,FALSE)</f>
        <v>0</v>
      </c>
      <c r="N113" s="5">
        <f>VLOOKUP(U14MMWruns[[#This Row],[POS2.0124]],pointstable[],2,FALSE)</f>
        <v>0</v>
      </c>
      <c r="O113" s="5">
        <f>VLOOKUP(U14MMWruns[[#This Row],[pos1.0140]],pointstable[],2,FALSE)</f>
        <v>0</v>
      </c>
      <c r="P113" s="5">
        <f>VLOOKUP(U14MMWruns[[#This Row],[pos2.0140]],pointstable[],2,FALSE)</f>
        <v>0</v>
      </c>
      <c r="Q113" s="5">
        <f>VLOOKUP(U14MMWruns[[#This Row],[pos1.0125]],pointstable[],2,FALSE)</f>
        <v>0</v>
      </c>
      <c r="R113" s="5">
        <f>VLOOKUP(U14MMWruns[[#This Row],[pos2.025]],pointstable[],2,FALSE)</f>
        <v>0</v>
      </c>
      <c r="S113" s="5">
        <f>VLOOKUP(U14MMWruns[[#This Row],[pos0122]],pointstable[],2,FALSE)</f>
        <v>0</v>
      </c>
    </row>
    <row r="114" spans="1:19" x14ac:dyDescent="0.25">
      <c r="A114">
        <v>85950</v>
      </c>
      <c r="B114" t="s">
        <v>206</v>
      </c>
      <c r="C114" t="s">
        <v>31</v>
      </c>
      <c r="D114">
        <v>4</v>
      </c>
      <c r="E114" s="5">
        <f>SUM(LARGE(M114:S114,{1,2,3,4,5}))</f>
        <v>0</v>
      </c>
      <c r="F114" s="5">
        <f>IFERROR(VLOOKUP(U14MMWruns[[#This Row],[Card]],results0124[],4,FALSE),999)</f>
        <v>102</v>
      </c>
      <c r="G114" s="5">
        <f>IFERROR(VLOOKUP(U14MMWruns[[#This Row],[Card]],results0124[],5,FALSE),999)</f>
        <v>92</v>
      </c>
      <c r="H114" s="5">
        <f>IFERROR(VLOOKUP(U14MMWruns[[#This Row],[Card]],results0140[],4,FALSE),999)</f>
        <v>64</v>
      </c>
      <c r="I114" s="5">
        <f>IFERROR(VLOOKUP(U14MMWruns[[#This Row],[Card]],results0140[],5,FALSE),999)</f>
        <v>999</v>
      </c>
      <c r="J114" s="5">
        <f>IFERROR(VLOOKUP(U14MMWruns[[#This Row],[Card]],results0125[],4,FALSE),999)</f>
        <v>999</v>
      </c>
      <c r="K114" s="5">
        <f>IFERROR(VLOOKUP(U14MMWruns[[#This Row],[Card]],results0125[],5,FALSE),999)</f>
        <v>96</v>
      </c>
      <c r="L114" s="5">
        <f>IFERROR(VLOOKUP(U14MMWruns[[#This Row],[Card]],results0122[],3,FALSE),999)</f>
        <v>93</v>
      </c>
      <c r="M114" s="5">
        <f>VLOOKUP(U14MMWruns[[#This Row],[pos1.0124]],pointstable[],2,FALSE)</f>
        <v>0</v>
      </c>
      <c r="N114" s="5">
        <f>VLOOKUP(U14MMWruns[[#This Row],[POS2.0124]],pointstable[],2,FALSE)</f>
        <v>0</v>
      </c>
      <c r="O114" s="5">
        <f>VLOOKUP(U14MMWruns[[#This Row],[pos1.0140]],pointstable[],2,FALSE)</f>
        <v>0</v>
      </c>
      <c r="P114" s="5">
        <f>VLOOKUP(U14MMWruns[[#This Row],[pos2.0140]],pointstable[],2,FALSE)</f>
        <v>0</v>
      </c>
      <c r="Q114" s="5">
        <f>VLOOKUP(U14MMWruns[[#This Row],[pos1.0125]],pointstable[],2,FALSE)</f>
        <v>0</v>
      </c>
      <c r="R114" s="5">
        <f>VLOOKUP(U14MMWruns[[#This Row],[pos2.025]],pointstable[],2,FALSE)</f>
        <v>0</v>
      </c>
      <c r="S114" s="5">
        <f>VLOOKUP(U14MMWruns[[#This Row],[pos0122]],pointstable[],2,FALSE)</f>
        <v>0</v>
      </c>
    </row>
    <row r="115" spans="1:19" x14ac:dyDescent="0.25">
      <c r="A115">
        <v>77258</v>
      </c>
      <c r="B115" t="s">
        <v>214</v>
      </c>
      <c r="C115" t="s">
        <v>42</v>
      </c>
      <c r="D115">
        <v>4</v>
      </c>
      <c r="E115" s="5">
        <f>SUM(LARGE(M115:S115,{1,2,3,4,5}))</f>
        <v>0</v>
      </c>
      <c r="F115" s="5">
        <f>IFERROR(VLOOKUP(U14MMWruns[[#This Row],[Card]],results0124[],4,FALSE),999)</f>
        <v>999</v>
      </c>
      <c r="G115" s="5">
        <f>IFERROR(VLOOKUP(U14MMWruns[[#This Row],[Card]],results0124[],5,FALSE),999)</f>
        <v>999</v>
      </c>
      <c r="H115" s="5">
        <f>IFERROR(VLOOKUP(U14MMWruns[[#This Row],[Card]],results0140[],4,FALSE),999)</f>
        <v>999</v>
      </c>
      <c r="I115" s="5">
        <f>IFERROR(VLOOKUP(U14MMWruns[[#This Row],[Card]],results0140[],5,FALSE),999)</f>
        <v>999</v>
      </c>
      <c r="J115" s="5">
        <f>IFERROR(VLOOKUP(U14MMWruns[[#This Row],[Card]],results0125[],4,FALSE),999)</f>
        <v>999</v>
      </c>
      <c r="K115" s="5">
        <f>IFERROR(VLOOKUP(U14MMWruns[[#This Row],[Card]],results0125[],5,FALSE),999)</f>
        <v>999</v>
      </c>
      <c r="L115" s="5">
        <f>IFERROR(VLOOKUP(U14MMWruns[[#This Row],[Card]],results0122[],3,FALSE),999)</f>
        <v>999</v>
      </c>
      <c r="M115" s="5">
        <f>VLOOKUP(U14MMWruns[[#This Row],[pos1.0124]],pointstable[],2,FALSE)</f>
        <v>0</v>
      </c>
      <c r="N115" s="5">
        <f>VLOOKUP(U14MMWruns[[#This Row],[POS2.0124]],pointstable[],2,FALSE)</f>
        <v>0</v>
      </c>
      <c r="O115" s="5">
        <f>VLOOKUP(U14MMWruns[[#This Row],[pos1.0140]],pointstable[],2,FALSE)</f>
        <v>0</v>
      </c>
      <c r="P115" s="5">
        <f>VLOOKUP(U14MMWruns[[#This Row],[pos2.0140]],pointstable[],2,FALSE)</f>
        <v>0</v>
      </c>
      <c r="Q115" s="5">
        <f>VLOOKUP(U14MMWruns[[#This Row],[pos1.0125]],pointstable[],2,FALSE)</f>
        <v>0</v>
      </c>
      <c r="R115" s="5">
        <f>VLOOKUP(U14MMWruns[[#This Row],[pos2.025]],pointstable[],2,FALSE)</f>
        <v>0</v>
      </c>
      <c r="S115" s="5">
        <f>VLOOKUP(U14MMWruns[[#This Row],[pos0122]],pointstable[],2,FALSE)</f>
        <v>0</v>
      </c>
    </row>
    <row r="116" spans="1:19" x14ac:dyDescent="0.25">
      <c r="A116">
        <v>80701</v>
      </c>
      <c r="B116" t="s">
        <v>216</v>
      </c>
      <c r="C116" t="s">
        <v>31</v>
      </c>
      <c r="D116">
        <v>5</v>
      </c>
      <c r="E116" s="5">
        <f>SUM(LARGE(M116:S116,{1,2,3,4,5}))</f>
        <v>0</v>
      </c>
      <c r="F116" s="5">
        <f>IFERROR(VLOOKUP(U14MMWruns[[#This Row],[Card]],results0124[],4,FALSE),999)</f>
        <v>96</v>
      </c>
      <c r="G116" s="5">
        <f>IFERROR(VLOOKUP(U14MMWruns[[#This Row],[Card]],results0124[],5,FALSE),999)</f>
        <v>87</v>
      </c>
      <c r="H116" s="5">
        <f>IFERROR(VLOOKUP(U14MMWruns[[#This Row],[Card]],results0140[],4,FALSE),999)</f>
        <v>999</v>
      </c>
      <c r="I116" s="5">
        <f>IFERROR(VLOOKUP(U14MMWruns[[#This Row],[Card]],results0140[],5,FALSE),999)</f>
        <v>999</v>
      </c>
      <c r="J116" s="5">
        <f>IFERROR(VLOOKUP(U14MMWruns[[#This Row],[Card]],results0125[],4,FALSE),999)</f>
        <v>89</v>
      </c>
      <c r="K116" s="5">
        <f>IFERROR(VLOOKUP(U14MMWruns[[#This Row],[Card]],results0125[],5,FALSE),999)</f>
        <v>81</v>
      </c>
      <c r="L116" s="5">
        <f>IFERROR(VLOOKUP(U14MMWruns[[#This Row],[Card]],results0122[],3,FALSE),999)</f>
        <v>999</v>
      </c>
      <c r="M116" s="5">
        <f>VLOOKUP(U14MMWruns[[#This Row],[pos1.0124]],pointstable[],2,FALSE)</f>
        <v>0</v>
      </c>
      <c r="N116" s="5">
        <f>VLOOKUP(U14MMWruns[[#This Row],[POS2.0124]],pointstable[],2,FALSE)</f>
        <v>0</v>
      </c>
      <c r="O116" s="5">
        <f>VLOOKUP(U14MMWruns[[#This Row],[pos1.0140]],pointstable[],2,FALSE)</f>
        <v>0</v>
      </c>
      <c r="P116" s="5">
        <f>VLOOKUP(U14MMWruns[[#This Row],[pos2.0140]],pointstable[],2,FALSE)</f>
        <v>0</v>
      </c>
      <c r="Q116" s="5">
        <f>VLOOKUP(U14MMWruns[[#This Row],[pos1.0125]],pointstable[],2,FALSE)</f>
        <v>0</v>
      </c>
      <c r="R116" s="5">
        <f>VLOOKUP(U14MMWruns[[#This Row],[pos2.025]],pointstable[],2,FALSE)</f>
        <v>0</v>
      </c>
      <c r="S116" s="5">
        <f>VLOOKUP(U14MMWruns[[#This Row],[pos0122]],pointstable[],2,FALSE)</f>
        <v>0</v>
      </c>
    </row>
    <row r="117" spans="1:19" x14ac:dyDescent="0.25">
      <c r="A117">
        <v>85454</v>
      </c>
      <c r="B117" t="s">
        <v>218</v>
      </c>
      <c r="C117" t="s">
        <v>54</v>
      </c>
      <c r="D117">
        <v>5</v>
      </c>
      <c r="E117" s="5">
        <f>SUM(LARGE(M117:S117,{1,2,3,4,5}))</f>
        <v>0</v>
      </c>
      <c r="F117" s="5">
        <f>IFERROR(VLOOKUP(U14MMWruns[[#This Row],[Card]],results0124[],4,FALSE),999)</f>
        <v>92</v>
      </c>
      <c r="G117" s="5">
        <f>IFERROR(VLOOKUP(U14MMWruns[[#This Row],[Card]],results0124[],5,FALSE),999)</f>
        <v>82</v>
      </c>
      <c r="H117" s="5">
        <f>IFERROR(VLOOKUP(U14MMWruns[[#This Row],[Card]],results0140[],4,FALSE),999)</f>
        <v>999</v>
      </c>
      <c r="I117" s="5">
        <f>IFERROR(VLOOKUP(U14MMWruns[[#This Row],[Card]],results0140[],5,FALSE),999)</f>
        <v>999</v>
      </c>
      <c r="J117" s="5">
        <f>IFERROR(VLOOKUP(U14MMWruns[[#This Row],[Card]],results0125[],4,FALSE),999)</f>
        <v>100</v>
      </c>
      <c r="K117" s="5">
        <f>IFERROR(VLOOKUP(U14MMWruns[[#This Row],[Card]],results0125[],5,FALSE),999)</f>
        <v>84</v>
      </c>
      <c r="L117" s="5">
        <f>IFERROR(VLOOKUP(U14MMWruns[[#This Row],[Card]],results0122[],3,FALSE),999)</f>
        <v>999</v>
      </c>
      <c r="M117" s="5">
        <f>VLOOKUP(U14MMWruns[[#This Row],[pos1.0124]],pointstable[],2,FALSE)</f>
        <v>0</v>
      </c>
      <c r="N117" s="5">
        <f>VLOOKUP(U14MMWruns[[#This Row],[POS2.0124]],pointstable[],2,FALSE)</f>
        <v>0</v>
      </c>
      <c r="O117" s="5">
        <f>VLOOKUP(U14MMWruns[[#This Row],[pos1.0140]],pointstable[],2,FALSE)</f>
        <v>0</v>
      </c>
      <c r="P117" s="5">
        <f>VLOOKUP(U14MMWruns[[#This Row],[pos2.0140]],pointstable[],2,FALSE)</f>
        <v>0</v>
      </c>
      <c r="Q117" s="5">
        <f>VLOOKUP(U14MMWruns[[#This Row],[pos1.0125]],pointstable[],2,FALSE)</f>
        <v>0</v>
      </c>
      <c r="R117" s="5">
        <f>VLOOKUP(U14MMWruns[[#This Row],[pos2.025]],pointstable[],2,FALSE)</f>
        <v>0</v>
      </c>
      <c r="S117" s="5">
        <f>VLOOKUP(U14MMWruns[[#This Row],[pos0122]],pointstable[],2,FALSE)</f>
        <v>0</v>
      </c>
    </row>
    <row r="118" spans="1:19" x14ac:dyDescent="0.25">
      <c r="A118">
        <v>80610</v>
      </c>
      <c r="B118" t="s">
        <v>219</v>
      </c>
      <c r="C118" t="s">
        <v>15</v>
      </c>
      <c r="D118">
        <v>5</v>
      </c>
      <c r="E118" s="5">
        <f>SUM(LARGE(M118:S118,{1,2,3,4,5}))</f>
        <v>0</v>
      </c>
      <c r="F118" s="5">
        <f>IFERROR(VLOOKUP(U14MMWruns[[#This Row],[Card]],results0124[],4,FALSE),999)</f>
        <v>999</v>
      </c>
      <c r="G118" s="5">
        <f>IFERROR(VLOOKUP(U14MMWruns[[#This Row],[Card]],results0124[],5,FALSE),999)</f>
        <v>999</v>
      </c>
      <c r="H118" s="5">
        <f>IFERROR(VLOOKUP(U14MMWruns[[#This Row],[Card]],results0140[],4,FALSE),999)</f>
        <v>999</v>
      </c>
      <c r="I118" s="5">
        <f>IFERROR(VLOOKUP(U14MMWruns[[#This Row],[Card]],results0140[],5,FALSE),999)</f>
        <v>999</v>
      </c>
      <c r="J118" s="5">
        <f>IFERROR(VLOOKUP(U14MMWruns[[#This Row],[Card]],results0125[],4,FALSE),999)</f>
        <v>999</v>
      </c>
      <c r="K118" s="5">
        <f>IFERROR(VLOOKUP(U14MMWruns[[#This Row],[Card]],results0125[],5,FALSE),999)</f>
        <v>999</v>
      </c>
      <c r="L118" s="5">
        <f>IFERROR(VLOOKUP(U14MMWruns[[#This Row],[Card]],results0122[],3,FALSE),999)</f>
        <v>999</v>
      </c>
      <c r="M118" s="5">
        <f>VLOOKUP(U14MMWruns[[#This Row],[pos1.0124]],pointstable[],2,FALSE)</f>
        <v>0</v>
      </c>
      <c r="N118" s="5">
        <f>VLOOKUP(U14MMWruns[[#This Row],[POS2.0124]],pointstable[],2,FALSE)</f>
        <v>0</v>
      </c>
      <c r="O118" s="5">
        <f>VLOOKUP(U14MMWruns[[#This Row],[pos1.0140]],pointstable[],2,FALSE)</f>
        <v>0</v>
      </c>
      <c r="P118" s="5">
        <f>VLOOKUP(U14MMWruns[[#This Row],[pos2.0140]],pointstable[],2,FALSE)</f>
        <v>0</v>
      </c>
      <c r="Q118" s="5">
        <f>VLOOKUP(U14MMWruns[[#This Row],[pos1.0125]],pointstable[],2,FALSE)</f>
        <v>0</v>
      </c>
      <c r="R118" s="5">
        <f>VLOOKUP(U14MMWruns[[#This Row],[pos2.025]],pointstable[],2,FALSE)</f>
        <v>0</v>
      </c>
      <c r="S118" s="5">
        <f>VLOOKUP(U14MMWruns[[#This Row],[pos0122]],pointstable[],2,FALSE)</f>
        <v>0</v>
      </c>
    </row>
    <row r="119" spans="1:19" x14ac:dyDescent="0.25">
      <c r="A119">
        <v>80627</v>
      </c>
      <c r="B119" t="s">
        <v>222</v>
      </c>
      <c r="C119" t="s">
        <v>19</v>
      </c>
      <c r="D119">
        <v>5</v>
      </c>
      <c r="E119" s="5">
        <f>SUM(LARGE(M119:S119,{1,2,3,4,5}))</f>
        <v>0</v>
      </c>
      <c r="F119" s="5">
        <f>IFERROR(VLOOKUP(U14MMWruns[[#This Row],[Card]],results0124[],4,FALSE),999)</f>
        <v>73</v>
      </c>
      <c r="G119" s="5">
        <f>IFERROR(VLOOKUP(U14MMWruns[[#This Row],[Card]],results0124[],5,FALSE),999)</f>
        <v>999</v>
      </c>
      <c r="H119" s="5">
        <f>IFERROR(VLOOKUP(U14MMWruns[[#This Row],[Card]],results0140[],4,FALSE),999)</f>
        <v>999</v>
      </c>
      <c r="I119" s="5">
        <f>IFERROR(VLOOKUP(U14MMWruns[[#This Row],[Card]],results0140[],5,FALSE),999)</f>
        <v>999</v>
      </c>
      <c r="J119" s="5">
        <f>IFERROR(VLOOKUP(U14MMWruns[[#This Row],[Card]],results0125[],4,FALSE),999)</f>
        <v>73</v>
      </c>
      <c r="K119" s="5">
        <f>IFERROR(VLOOKUP(U14MMWruns[[#This Row],[Card]],results0125[],5,FALSE),999)</f>
        <v>81</v>
      </c>
      <c r="L119" s="5">
        <f>IFERROR(VLOOKUP(U14MMWruns[[#This Row],[Card]],results0122[],3,FALSE),999)</f>
        <v>999</v>
      </c>
      <c r="M119" s="5">
        <f>VLOOKUP(U14MMWruns[[#This Row],[pos1.0124]],pointstable[],2,FALSE)</f>
        <v>0</v>
      </c>
      <c r="N119" s="5">
        <f>VLOOKUP(U14MMWruns[[#This Row],[POS2.0124]],pointstable[],2,FALSE)</f>
        <v>0</v>
      </c>
      <c r="O119" s="5">
        <f>VLOOKUP(U14MMWruns[[#This Row],[pos1.0140]],pointstable[],2,FALSE)</f>
        <v>0</v>
      </c>
      <c r="P119" s="5">
        <f>VLOOKUP(U14MMWruns[[#This Row],[pos2.0140]],pointstable[],2,FALSE)</f>
        <v>0</v>
      </c>
      <c r="Q119" s="5">
        <f>VLOOKUP(U14MMWruns[[#This Row],[pos1.0125]],pointstable[],2,FALSE)</f>
        <v>0</v>
      </c>
      <c r="R119" s="5">
        <f>VLOOKUP(U14MMWruns[[#This Row],[pos2.025]],pointstable[],2,FALSE)</f>
        <v>0</v>
      </c>
      <c r="S119" s="5">
        <f>VLOOKUP(U14MMWruns[[#This Row],[pos0122]],pointstable[],2,FALSE)</f>
        <v>0</v>
      </c>
    </row>
    <row r="120" spans="1:19" x14ac:dyDescent="0.25">
      <c r="A120" s="23">
        <v>82405</v>
      </c>
      <c r="B120" s="23" t="s">
        <v>223</v>
      </c>
      <c r="C120" s="23" t="s">
        <v>101</v>
      </c>
      <c r="D120" s="23">
        <v>4</v>
      </c>
      <c r="E120" s="5">
        <f>SUM(LARGE(M120:S120,{1,2,3,4,5}))</f>
        <v>0</v>
      </c>
      <c r="F120" s="5">
        <f>IFERROR(VLOOKUP(U14MMWruns[[#This Row],[Card]],results0124[],4,FALSE),999)</f>
        <v>999</v>
      </c>
      <c r="G120" s="5">
        <f>IFERROR(VLOOKUP(U14MMWruns[[#This Row],[Card]],results0124[],5,FALSE),999)</f>
        <v>999</v>
      </c>
      <c r="H120" s="5">
        <f>IFERROR(VLOOKUP(U14MMWruns[[#This Row],[Card]],results0140[],4,FALSE),999)</f>
        <v>999</v>
      </c>
      <c r="I120" s="5">
        <f>IFERROR(VLOOKUP(U14MMWruns[[#This Row],[Card]],results0140[],5,FALSE),999)</f>
        <v>999</v>
      </c>
      <c r="J120" s="5">
        <f>IFERROR(VLOOKUP(U14MMWruns[[#This Row],[Card]],results0125[],4,FALSE),999)</f>
        <v>999</v>
      </c>
      <c r="K120" s="5">
        <f>IFERROR(VLOOKUP(U14MMWruns[[#This Row],[Card]],results0125[],5,FALSE),999)</f>
        <v>999</v>
      </c>
      <c r="L120" s="5">
        <f>IFERROR(VLOOKUP(U14MMWruns[[#This Row],[Card]],results0122[],3,FALSE),999)</f>
        <v>999</v>
      </c>
      <c r="M120" s="5">
        <f>VLOOKUP(U14MMWruns[[#This Row],[pos1.0124]],pointstable[],2,FALSE)</f>
        <v>0</v>
      </c>
      <c r="N120" s="5">
        <f>VLOOKUP(U14MMWruns[[#This Row],[POS2.0124]],pointstable[],2,FALSE)</f>
        <v>0</v>
      </c>
      <c r="O120" s="5">
        <f>VLOOKUP(U14MMWruns[[#This Row],[pos1.0140]],pointstable[],2,FALSE)</f>
        <v>0</v>
      </c>
      <c r="P120" s="5">
        <f>VLOOKUP(U14MMWruns[[#This Row],[pos2.0140]],pointstable[],2,FALSE)</f>
        <v>0</v>
      </c>
      <c r="Q120" s="5">
        <f>VLOOKUP(U14MMWruns[[#This Row],[pos1.0125]],pointstable[],2,FALSE)</f>
        <v>0</v>
      </c>
      <c r="R120" s="5">
        <f>VLOOKUP(U14MMWruns[[#This Row],[pos2.025]],pointstable[],2,FALSE)</f>
        <v>0</v>
      </c>
      <c r="S120" s="5">
        <f>VLOOKUP(U14MMWruns[[#This Row],[pos0122]],pointstable[],2,FALSE)</f>
        <v>0</v>
      </c>
    </row>
    <row r="121" spans="1:19" x14ac:dyDescent="0.25">
      <c r="A121">
        <v>80807</v>
      </c>
      <c r="B121" s="5" t="s">
        <v>298</v>
      </c>
      <c r="C121" s="5" t="s">
        <v>54</v>
      </c>
      <c r="D121" s="5">
        <v>5</v>
      </c>
      <c r="E121" s="5">
        <f>SUM(LARGE(M121:S121,{1,2,3,4,5}))</f>
        <v>0</v>
      </c>
      <c r="F121" s="5">
        <f>IFERROR(VLOOKUP(U14MMWruns[[#This Row],[Card]],results0124[],4,FALSE),999)</f>
        <v>86</v>
      </c>
      <c r="G121" s="5">
        <f>IFERROR(VLOOKUP(U14MMWruns[[#This Row],[Card]],results0124[],5,FALSE),999)</f>
        <v>73</v>
      </c>
      <c r="H121" s="5">
        <f>IFERROR(VLOOKUP(U14MMWruns[[#This Row],[Card]],results0140[],4,FALSE),999)</f>
        <v>999</v>
      </c>
      <c r="I121" s="5">
        <f>IFERROR(VLOOKUP(U14MMWruns[[#This Row],[Card]],results0140[],5,FALSE),999)</f>
        <v>999</v>
      </c>
      <c r="J121" s="5">
        <f>IFERROR(VLOOKUP(U14MMWruns[[#This Row],[Card]],results0125[],4,FALSE),999)</f>
        <v>88</v>
      </c>
      <c r="K121" s="5">
        <f>IFERROR(VLOOKUP(U14MMWruns[[#This Row],[Card]],results0125[],5,FALSE),999)</f>
        <v>86</v>
      </c>
      <c r="L121" s="5">
        <f>IFERROR(VLOOKUP(U14MMWruns[[#This Row],[Card]],results0122[],3,FALSE),999)</f>
        <v>999</v>
      </c>
      <c r="M121" s="5">
        <f>VLOOKUP(U14MMWruns[[#This Row],[pos1.0124]],pointstable[],2,FALSE)</f>
        <v>0</v>
      </c>
      <c r="N121" s="5">
        <f>VLOOKUP(U14MMWruns[[#This Row],[POS2.0124]],pointstable[],2,FALSE)</f>
        <v>0</v>
      </c>
      <c r="O121" s="5">
        <f>VLOOKUP(U14MMWruns[[#This Row],[pos1.0140]],pointstable[],2,FALSE)</f>
        <v>0</v>
      </c>
      <c r="P121" s="5">
        <f>VLOOKUP(U14MMWruns[[#This Row],[pos2.0140]],pointstable[],2,FALSE)</f>
        <v>0</v>
      </c>
      <c r="Q121" s="5">
        <f>VLOOKUP(U14MMWruns[[#This Row],[pos1.0125]],pointstable[],2,FALSE)</f>
        <v>0</v>
      </c>
      <c r="R121" s="5">
        <f>VLOOKUP(U14MMWruns[[#This Row],[pos2.025]],pointstable[],2,FALSE)</f>
        <v>0</v>
      </c>
      <c r="S121" s="5">
        <f>VLOOKUP(U14MMWruns[[#This Row],[pos0122]],pointstable[],2,FALSE)</f>
        <v>0</v>
      </c>
    </row>
    <row r="122" spans="1:19" x14ac:dyDescent="0.25">
      <c r="A122" s="26">
        <v>84868</v>
      </c>
      <c r="B122" s="27" t="s">
        <v>312</v>
      </c>
      <c r="C122" s="27" t="s">
        <v>54</v>
      </c>
      <c r="D122" s="27">
        <v>5</v>
      </c>
      <c r="E122" s="5">
        <f>SUM(LARGE(M122:S122,{1,2,3,4,5}))</f>
        <v>0</v>
      </c>
      <c r="F122" s="5">
        <f>IFERROR(VLOOKUP(U14MMWruns[[#This Row],[Card]],results0124[],4,FALSE),999)</f>
        <v>95</v>
      </c>
      <c r="G122" s="5">
        <f>IFERROR(VLOOKUP(U14MMWruns[[#This Row],[Card]],results0124[],5,FALSE),999)</f>
        <v>81</v>
      </c>
      <c r="H122" s="5">
        <f>IFERROR(VLOOKUP(U14MMWruns[[#This Row],[Card]],results0140[],4,FALSE),999)</f>
        <v>999</v>
      </c>
      <c r="I122" s="5">
        <f>IFERROR(VLOOKUP(U14MMWruns[[#This Row],[Card]],results0140[],5,FALSE),999)</f>
        <v>999</v>
      </c>
      <c r="J122" s="5">
        <f>IFERROR(VLOOKUP(U14MMWruns[[#This Row],[Card]],results0125[],4,FALSE),999)</f>
        <v>98</v>
      </c>
      <c r="K122" s="5">
        <f>IFERROR(VLOOKUP(U14MMWruns[[#This Row],[Card]],results0125[],5,FALSE),999)</f>
        <v>92</v>
      </c>
      <c r="L122" s="5">
        <f>IFERROR(VLOOKUP(U14MMWruns[[#This Row],[Card]],results0122[],3,FALSE),999)</f>
        <v>999</v>
      </c>
      <c r="M122" s="5">
        <f>VLOOKUP(U14MMWruns[[#This Row],[pos1.0124]],pointstable[],2,FALSE)</f>
        <v>0</v>
      </c>
      <c r="N122" s="5">
        <f>VLOOKUP(U14MMWruns[[#This Row],[POS2.0124]],pointstable[],2,FALSE)</f>
        <v>0</v>
      </c>
      <c r="O122" s="5">
        <f>VLOOKUP(U14MMWruns[[#This Row],[pos1.0140]],pointstable[],2,FALSE)</f>
        <v>0</v>
      </c>
      <c r="P122" s="5">
        <f>VLOOKUP(U14MMWruns[[#This Row],[pos2.0140]],pointstable[],2,FALSE)</f>
        <v>0</v>
      </c>
      <c r="Q122" s="5">
        <f>VLOOKUP(U14MMWruns[[#This Row],[pos1.0125]],pointstable[],2,FALSE)</f>
        <v>0</v>
      </c>
      <c r="R122" s="5">
        <f>VLOOKUP(U14MMWruns[[#This Row],[pos2.025]],pointstable[],2,FALSE)</f>
        <v>0</v>
      </c>
      <c r="S122" s="5">
        <f>VLOOKUP(U14MMWruns[[#This Row],[pos0122]],pointstable[],2,FALSE)</f>
        <v>0</v>
      </c>
    </row>
    <row r="123" spans="1:19" x14ac:dyDescent="0.25">
      <c r="A123">
        <v>86128</v>
      </c>
      <c r="B123" t="s">
        <v>461</v>
      </c>
      <c r="C123" t="s">
        <v>61</v>
      </c>
      <c r="D123" s="5">
        <v>5</v>
      </c>
      <c r="E123" s="5">
        <f>SUM(LARGE(M123:S123,{1,2,3,4,5}))</f>
        <v>0</v>
      </c>
      <c r="F123" s="5">
        <f>IFERROR(VLOOKUP(U14MMWruns[[#This Row],[Card]],results0124[],4,FALSE),999)</f>
        <v>999</v>
      </c>
      <c r="G123" s="5">
        <f>IFERROR(VLOOKUP(U14MMWruns[[#This Row],[Card]],results0124[],5,FALSE),999)</f>
        <v>999</v>
      </c>
      <c r="H123" s="5">
        <f>IFERROR(VLOOKUP(U14MMWruns[[#This Row],[Card]],results0140[],4,FALSE),999)</f>
        <v>999</v>
      </c>
      <c r="I123" s="5">
        <f>IFERROR(VLOOKUP(U14MMWruns[[#This Row],[Card]],results0140[],5,FALSE),999)</f>
        <v>999</v>
      </c>
      <c r="J123" s="5">
        <f>IFERROR(VLOOKUP(U14MMWruns[[#This Row],[Card]],results0125[],4,FALSE),999)</f>
        <v>999</v>
      </c>
      <c r="K123" s="5">
        <f>IFERROR(VLOOKUP(U14MMWruns[[#This Row],[Card]],results0125[],5,FALSE),999)</f>
        <v>999</v>
      </c>
      <c r="L123" s="5">
        <f>IFERROR(VLOOKUP(U14MMWruns[[#This Row],[Card]],results0122[],3,FALSE),999)</f>
        <v>999</v>
      </c>
      <c r="M123" s="5">
        <f>VLOOKUP(U14MMWruns[[#This Row],[pos1.0124]],pointstable[],2,FALSE)</f>
        <v>0</v>
      </c>
      <c r="N123" s="5">
        <f>VLOOKUP(U14MMWruns[[#This Row],[POS2.0124]],pointstable[],2,FALSE)</f>
        <v>0</v>
      </c>
      <c r="O123" s="5">
        <f>VLOOKUP(U14MMWruns[[#This Row],[pos1.0140]],pointstable[],2,FALSE)</f>
        <v>0</v>
      </c>
      <c r="P123" s="5">
        <f>VLOOKUP(U14MMWruns[[#This Row],[pos2.0140]],pointstable[],2,FALSE)</f>
        <v>0</v>
      </c>
      <c r="Q123" s="5">
        <f>VLOOKUP(U14MMWruns[[#This Row],[pos1.0125]],pointstable[],2,FALSE)</f>
        <v>0</v>
      </c>
      <c r="R123" s="5">
        <f>VLOOKUP(U14MMWruns[[#This Row],[pos2.025]],pointstable[],2,FALSE)</f>
        <v>0</v>
      </c>
      <c r="S123" s="5">
        <f>VLOOKUP(U14MMWruns[[#This Row],[pos0122]],pointstable[],2,FALSE)</f>
        <v>0</v>
      </c>
    </row>
    <row r="124" spans="1:19" x14ac:dyDescent="0.25">
      <c r="A124">
        <v>87853</v>
      </c>
      <c r="B124" t="s">
        <v>463</v>
      </c>
      <c r="C124" t="s">
        <v>117</v>
      </c>
      <c r="D124" s="5">
        <v>5</v>
      </c>
      <c r="E124" s="5">
        <f>SUM(LARGE(M124:S124,{1,2,3,4,5}))</f>
        <v>0</v>
      </c>
      <c r="F124" s="5">
        <f>IFERROR(VLOOKUP(U14MMWruns[[#This Row],[Card]],results0124[],4,FALSE),999)</f>
        <v>999</v>
      </c>
      <c r="G124" s="5">
        <f>IFERROR(VLOOKUP(U14MMWruns[[#This Row],[Card]],results0124[],5,FALSE),999)</f>
        <v>999</v>
      </c>
      <c r="H124" s="5">
        <f>IFERROR(VLOOKUP(U14MMWruns[[#This Row],[Card]],results0140[],4,FALSE),999)</f>
        <v>999</v>
      </c>
      <c r="I124" s="5">
        <f>IFERROR(VLOOKUP(U14MMWruns[[#This Row],[Card]],results0140[],5,FALSE),999)</f>
        <v>999</v>
      </c>
      <c r="J124" s="5">
        <f>IFERROR(VLOOKUP(U14MMWruns[[#This Row],[Card]],results0125[],4,FALSE),999)</f>
        <v>999</v>
      </c>
      <c r="K124" s="5">
        <f>IFERROR(VLOOKUP(U14MMWruns[[#This Row],[Card]],results0125[],5,FALSE),999)</f>
        <v>999</v>
      </c>
      <c r="L124" s="5">
        <f>IFERROR(VLOOKUP(U14MMWruns[[#This Row],[Card]],results0122[],3,FALSE),999)</f>
        <v>999</v>
      </c>
      <c r="M124" s="5">
        <f>VLOOKUP(U14MMWruns[[#This Row],[pos1.0124]],pointstable[],2,FALSE)</f>
        <v>0</v>
      </c>
      <c r="N124" s="5">
        <f>VLOOKUP(U14MMWruns[[#This Row],[POS2.0124]],pointstable[],2,FALSE)</f>
        <v>0</v>
      </c>
      <c r="O124" s="5">
        <f>VLOOKUP(U14MMWruns[[#This Row],[pos1.0140]],pointstable[],2,FALSE)</f>
        <v>0</v>
      </c>
      <c r="P124" s="5">
        <f>VLOOKUP(U14MMWruns[[#This Row],[pos2.0140]],pointstable[],2,FALSE)</f>
        <v>0</v>
      </c>
      <c r="Q124" s="5">
        <f>VLOOKUP(U14MMWruns[[#This Row],[pos1.0125]],pointstable[],2,FALSE)</f>
        <v>0</v>
      </c>
      <c r="R124" s="5">
        <f>VLOOKUP(U14MMWruns[[#This Row],[pos2.025]],pointstable[],2,FALSE)</f>
        <v>0</v>
      </c>
      <c r="S124" s="5">
        <f>VLOOKUP(U14MMWruns[[#This Row],[pos0122]],pointstable[],2,FALSE)</f>
        <v>0</v>
      </c>
    </row>
  </sheetData>
  <mergeCells count="6">
    <mergeCell ref="Q1:R1"/>
    <mergeCell ref="M1:N1"/>
    <mergeCell ref="F1:G1"/>
    <mergeCell ref="H1:I1"/>
    <mergeCell ref="O1:P1"/>
    <mergeCell ref="J1:K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B19" sqref="B19"/>
    </sheetView>
  </sheetViews>
  <sheetFormatPr defaultRowHeight="15" x14ac:dyDescent="0.25"/>
  <sheetData>
    <row r="1" spans="1:2" ht="14.45" x14ac:dyDescent="0.3">
      <c r="A1" s="40" t="s">
        <v>0</v>
      </c>
      <c r="B1" s="40"/>
    </row>
    <row r="2" spans="1:2" ht="14.45" x14ac:dyDescent="0.3">
      <c r="A2" t="s">
        <v>1</v>
      </c>
      <c r="B2" t="s">
        <v>2</v>
      </c>
    </row>
    <row r="3" spans="1:2" ht="14.45" x14ac:dyDescent="0.3">
      <c r="A3" s="1">
        <v>0</v>
      </c>
      <c r="B3" s="2">
        <v>0</v>
      </c>
    </row>
    <row r="4" spans="1:2" ht="14.45" x14ac:dyDescent="0.3">
      <c r="A4" s="1">
        <v>1</v>
      </c>
      <c r="B4" s="2">
        <v>500</v>
      </c>
    </row>
    <row r="5" spans="1:2" ht="14.45" x14ac:dyDescent="0.3">
      <c r="A5" s="1">
        <v>2</v>
      </c>
      <c r="B5" s="2">
        <v>400</v>
      </c>
    </row>
    <row r="6" spans="1:2" ht="14.45" x14ac:dyDescent="0.3">
      <c r="A6" s="1">
        <v>3</v>
      </c>
      <c r="B6" s="2">
        <v>300</v>
      </c>
    </row>
    <row r="7" spans="1:2" ht="14.45" x14ac:dyDescent="0.3">
      <c r="A7" s="1">
        <v>4</v>
      </c>
      <c r="B7" s="2">
        <v>250</v>
      </c>
    </row>
    <row r="8" spans="1:2" ht="14.45" x14ac:dyDescent="0.3">
      <c r="A8" s="1">
        <v>5</v>
      </c>
      <c r="B8" s="2">
        <v>225</v>
      </c>
    </row>
    <row r="9" spans="1:2" ht="14.45" x14ac:dyDescent="0.3">
      <c r="A9" s="1">
        <v>6</v>
      </c>
      <c r="B9" s="2">
        <v>200</v>
      </c>
    </row>
    <row r="10" spans="1:2" ht="14.45" x14ac:dyDescent="0.3">
      <c r="A10" s="1">
        <v>7</v>
      </c>
      <c r="B10" s="2">
        <v>180</v>
      </c>
    </row>
    <row r="11" spans="1:2" ht="14.45" x14ac:dyDescent="0.3">
      <c r="A11" s="1">
        <v>8</v>
      </c>
      <c r="B11" s="2">
        <v>160</v>
      </c>
    </row>
    <row r="12" spans="1:2" ht="14.45" x14ac:dyDescent="0.3">
      <c r="A12" s="1">
        <v>9</v>
      </c>
      <c r="B12" s="2">
        <v>145</v>
      </c>
    </row>
    <row r="13" spans="1:2" ht="14.45" x14ac:dyDescent="0.3">
      <c r="A13" s="1">
        <v>10</v>
      </c>
      <c r="B13" s="2">
        <v>130</v>
      </c>
    </row>
    <row r="14" spans="1:2" ht="14.45" x14ac:dyDescent="0.3">
      <c r="A14" s="1">
        <v>11</v>
      </c>
      <c r="B14" s="2">
        <v>120</v>
      </c>
    </row>
    <row r="15" spans="1:2" ht="14.45" x14ac:dyDescent="0.3">
      <c r="A15" s="1">
        <v>12</v>
      </c>
      <c r="B15" s="2">
        <v>110</v>
      </c>
    </row>
    <row r="16" spans="1:2" ht="14.45" x14ac:dyDescent="0.3">
      <c r="A16" s="1">
        <v>13</v>
      </c>
      <c r="B16" s="2">
        <v>100</v>
      </c>
    </row>
    <row r="17" spans="1:2" ht="14.45" x14ac:dyDescent="0.3">
      <c r="A17" s="1">
        <v>14</v>
      </c>
      <c r="B17" s="2">
        <v>90</v>
      </c>
    </row>
    <row r="18" spans="1:2" ht="14.45" x14ac:dyDescent="0.3">
      <c r="A18" s="1">
        <v>15</v>
      </c>
      <c r="B18" s="2">
        <v>80</v>
      </c>
    </row>
    <row r="19" spans="1:2" ht="14.45" x14ac:dyDescent="0.3">
      <c r="A19" s="1">
        <v>16</v>
      </c>
      <c r="B19" s="2">
        <v>75</v>
      </c>
    </row>
    <row r="20" spans="1:2" ht="14.45" x14ac:dyDescent="0.3">
      <c r="A20" s="1">
        <v>17</v>
      </c>
      <c r="B20" s="2">
        <v>70</v>
      </c>
    </row>
    <row r="21" spans="1:2" ht="14.45" x14ac:dyDescent="0.3">
      <c r="A21" s="1">
        <v>18</v>
      </c>
      <c r="B21" s="2">
        <v>65</v>
      </c>
    </row>
    <row r="22" spans="1:2" ht="14.45" x14ac:dyDescent="0.3">
      <c r="A22" s="1">
        <v>19</v>
      </c>
      <c r="B22" s="2">
        <v>60</v>
      </c>
    </row>
    <row r="23" spans="1:2" ht="14.45" x14ac:dyDescent="0.3">
      <c r="A23" s="1">
        <v>20</v>
      </c>
      <c r="B23" s="2">
        <v>55</v>
      </c>
    </row>
    <row r="24" spans="1:2" ht="14.45" x14ac:dyDescent="0.3">
      <c r="A24" s="1">
        <v>21</v>
      </c>
      <c r="B24" s="2">
        <v>51</v>
      </c>
    </row>
    <row r="25" spans="1:2" ht="14.45" x14ac:dyDescent="0.3">
      <c r="A25" s="1">
        <v>22</v>
      </c>
      <c r="B25" s="2">
        <v>47</v>
      </c>
    </row>
    <row r="26" spans="1:2" ht="14.45" x14ac:dyDescent="0.3">
      <c r="A26" s="1">
        <v>23</v>
      </c>
      <c r="B26" s="2">
        <v>44</v>
      </c>
    </row>
    <row r="27" spans="1:2" ht="14.45" x14ac:dyDescent="0.3">
      <c r="A27" s="1">
        <v>24</v>
      </c>
      <c r="B27" s="2">
        <v>41</v>
      </c>
    </row>
    <row r="28" spans="1:2" x14ac:dyDescent="0.25">
      <c r="A28" s="1">
        <v>25</v>
      </c>
      <c r="B28" s="2">
        <v>38</v>
      </c>
    </row>
    <row r="29" spans="1:2" x14ac:dyDescent="0.25">
      <c r="A29" s="1">
        <v>26</v>
      </c>
      <c r="B29" s="2">
        <v>36</v>
      </c>
    </row>
    <row r="30" spans="1:2" x14ac:dyDescent="0.25">
      <c r="A30" s="1">
        <v>27</v>
      </c>
      <c r="B30" s="2">
        <v>34</v>
      </c>
    </row>
    <row r="31" spans="1:2" x14ac:dyDescent="0.25">
      <c r="A31" s="1">
        <v>28</v>
      </c>
      <c r="B31" s="2">
        <v>32</v>
      </c>
    </row>
    <row r="32" spans="1:2" x14ac:dyDescent="0.25">
      <c r="A32" s="1">
        <v>29</v>
      </c>
      <c r="B32" s="2">
        <v>31</v>
      </c>
    </row>
    <row r="33" spans="1:2" x14ac:dyDescent="0.25">
      <c r="A33" s="1">
        <v>30</v>
      </c>
      <c r="B33" s="2">
        <v>30</v>
      </c>
    </row>
    <row r="34" spans="1:2" x14ac:dyDescent="0.25">
      <c r="A34" s="1">
        <v>31</v>
      </c>
      <c r="B34" s="2">
        <v>29</v>
      </c>
    </row>
    <row r="35" spans="1:2" x14ac:dyDescent="0.25">
      <c r="A35" s="1">
        <v>32</v>
      </c>
      <c r="B35" s="2">
        <v>28</v>
      </c>
    </row>
    <row r="36" spans="1:2" x14ac:dyDescent="0.25">
      <c r="A36" s="1">
        <v>33</v>
      </c>
      <c r="B36" s="2">
        <v>27</v>
      </c>
    </row>
    <row r="37" spans="1:2" x14ac:dyDescent="0.25">
      <c r="A37" s="1">
        <v>34</v>
      </c>
      <c r="B37" s="2">
        <v>26</v>
      </c>
    </row>
    <row r="38" spans="1:2" x14ac:dyDescent="0.25">
      <c r="A38" s="1">
        <v>35</v>
      </c>
      <c r="B38" s="2">
        <v>25</v>
      </c>
    </row>
    <row r="39" spans="1:2" x14ac:dyDescent="0.25">
      <c r="A39" s="1">
        <v>36</v>
      </c>
      <c r="B39" s="2">
        <v>24</v>
      </c>
    </row>
    <row r="40" spans="1:2" x14ac:dyDescent="0.25">
      <c r="A40" s="1">
        <v>37</v>
      </c>
      <c r="B40" s="2">
        <v>23</v>
      </c>
    </row>
    <row r="41" spans="1:2" x14ac:dyDescent="0.25">
      <c r="A41" s="1">
        <v>38</v>
      </c>
      <c r="B41" s="2">
        <v>22</v>
      </c>
    </row>
    <row r="42" spans="1:2" x14ac:dyDescent="0.25">
      <c r="A42" s="1">
        <v>39</v>
      </c>
      <c r="B42" s="2">
        <v>21</v>
      </c>
    </row>
    <row r="43" spans="1:2" x14ac:dyDescent="0.25">
      <c r="A43" s="1">
        <v>40</v>
      </c>
      <c r="B43" s="2">
        <v>20</v>
      </c>
    </row>
    <row r="44" spans="1:2" x14ac:dyDescent="0.25">
      <c r="A44" s="1">
        <v>41</v>
      </c>
      <c r="B44" s="2">
        <v>19</v>
      </c>
    </row>
    <row r="45" spans="1:2" x14ac:dyDescent="0.25">
      <c r="A45" s="1">
        <v>42</v>
      </c>
      <c r="B45" s="2">
        <v>18</v>
      </c>
    </row>
    <row r="46" spans="1:2" x14ac:dyDescent="0.25">
      <c r="A46" s="1">
        <v>43</v>
      </c>
      <c r="B46" s="2">
        <v>17</v>
      </c>
    </row>
    <row r="47" spans="1:2" x14ac:dyDescent="0.25">
      <c r="A47" s="1">
        <v>44</v>
      </c>
      <c r="B47" s="2">
        <v>16</v>
      </c>
    </row>
    <row r="48" spans="1:2" x14ac:dyDescent="0.25">
      <c r="A48" s="1">
        <v>45</v>
      </c>
      <c r="B48" s="2">
        <v>15</v>
      </c>
    </row>
    <row r="49" spans="1:2" x14ac:dyDescent="0.25">
      <c r="A49" s="1">
        <v>46</v>
      </c>
      <c r="B49" s="2">
        <v>14</v>
      </c>
    </row>
    <row r="50" spans="1:2" x14ac:dyDescent="0.25">
      <c r="A50" s="1">
        <v>47</v>
      </c>
      <c r="B50" s="2">
        <v>13</v>
      </c>
    </row>
    <row r="51" spans="1:2" x14ac:dyDescent="0.25">
      <c r="A51" s="1">
        <v>48</v>
      </c>
      <c r="B51" s="2">
        <v>12</v>
      </c>
    </row>
    <row r="52" spans="1:2" x14ac:dyDescent="0.25">
      <c r="A52" s="1">
        <v>49</v>
      </c>
      <c r="B52" s="2">
        <v>11</v>
      </c>
    </row>
    <row r="53" spans="1:2" x14ac:dyDescent="0.25">
      <c r="A53" s="1">
        <v>50</v>
      </c>
      <c r="B53" s="2">
        <v>10</v>
      </c>
    </row>
    <row r="54" spans="1:2" x14ac:dyDescent="0.25">
      <c r="A54" s="1">
        <v>51</v>
      </c>
      <c r="B54" s="2">
        <v>9</v>
      </c>
    </row>
    <row r="55" spans="1:2" x14ac:dyDescent="0.25">
      <c r="A55" s="1">
        <v>52</v>
      </c>
      <c r="B55" s="2">
        <v>8</v>
      </c>
    </row>
    <row r="56" spans="1:2" x14ac:dyDescent="0.25">
      <c r="A56" s="1">
        <v>53</v>
      </c>
      <c r="B56" s="2">
        <v>7</v>
      </c>
    </row>
    <row r="57" spans="1:2" x14ac:dyDescent="0.25">
      <c r="A57" s="1">
        <v>54</v>
      </c>
      <c r="B57" s="2">
        <v>6</v>
      </c>
    </row>
    <row r="58" spans="1:2" x14ac:dyDescent="0.25">
      <c r="A58" s="1">
        <v>55</v>
      </c>
      <c r="B58" s="2">
        <v>5</v>
      </c>
    </row>
    <row r="59" spans="1:2" x14ac:dyDescent="0.25">
      <c r="A59" s="1">
        <v>56</v>
      </c>
      <c r="B59" s="2">
        <v>4</v>
      </c>
    </row>
    <row r="60" spans="1:2" x14ac:dyDescent="0.25">
      <c r="A60" s="1">
        <v>57</v>
      </c>
      <c r="B60" s="2">
        <v>3</v>
      </c>
    </row>
    <row r="61" spans="1:2" x14ac:dyDescent="0.25">
      <c r="A61" s="1">
        <v>58</v>
      </c>
      <c r="B61" s="2">
        <v>2</v>
      </c>
    </row>
    <row r="62" spans="1:2" x14ac:dyDescent="0.25">
      <c r="A62" s="1">
        <v>59</v>
      </c>
      <c r="B62" s="2">
        <v>1</v>
      </c>
    </row>
    <row r="63" spans="1:2" x14ac:dyDescent="0.25">
      <c r="A63" s="1">
        <v>60</v>
      </c>
      <c r="B63" s="2">
        <v>1</v>
      </c>
    </row>
    <row r="64" spans="1:2" x14ac:dyDescent="0.25">
      <c r="A64" s="1">
        <v>61</v>
      </c>
      <c r="B64" s="2">
        <v>0</v>
      </c>
    </row>
    <row r="65" spans="1:2" x14ac:dyDescent="0.25">
      <c r="A65" s="1">
        <v>62</v>
      </c>
      <c r="B65" s="2">
        <v>0</v>
      </c>
    </row>
    <row r="66" spans="1:2" x14ac:dyDescent="0.25">
      <c r="A66" s="1">
        <v>63</v>
      </c>
      <c r="B66" s="2">
        <v>0</v>
      </c>
    </row>
    <row r="67" spans="1:2" x14ac:dyDescent="0.25">
      <c r="A67" s="1">
        <v>64</v>
      </c>
      <c r="B67" s="2">
        <v>0</v>
      </c>
    </row>
    <row r="68" spans="1:2" x14ac:dyDescent="0.25">
      <c r="A68" s="1">
        <v>65</v>
      </c>
      <c r="B68" s="2">
        <v>0</v>
      </c>
    </row>
    <row r="69" spans="1:2" x14ac:dyDescent="0.25">
      <c r="A69" s="1">
        <v>66</v>
      </c>
      <c r="B69" s="2">
        <v>0</v>
      </c>
    </row>
    <row r="70" spans="1:2" x14ac:dyDescent="0.25">
      <c r="A70" s="1">
        <v>67</v>
      </c>
      <c r="B70" s="2">
        <v>0</v>
      </c>
    </row>
    <row r="71" spans="1:2" x14ac:dyDescent="0.25">
      <c r="A71" s="1">
        <v>68</v>
      </c>
      <c r="B71" s="2">
        <v>0</v>
      </c>
    </row>
    <row r="72" spans="1:2" x14ac:dyDescent="0.25">
      <c r="A72" s="1">
        <v>69</v>
      </c>
      <c r="B72" s="2">
        <v>0</v>
      </c>
    </row>
    <row r="73" spans="1:2" x14ac:dyDescent="0.25">
      <c r="A73" s="1">
        <v>70</v>
      </c>
      <c r="B73" s="2">
        <v>0</v>
      </c>
    </row>
    <row r="74" spans="1:2" x14ac:dyDescent="0.25">
      <c r="A74" s="1">
        <v>71</v>
      </c>
      <c r="B74" s="2">
        <v>0</v>
      </c>
    </row>
    <row r="75" spans="1:2" x14ac:dyDescent="0.25">
      <c r="A75" s="1">
        <v>72</v>
      </c>
      <c r="B75" s="2">
        <v>0</v>
      </c>
    </row>
    <row r="76" spans="1:2" x14ac:dyDescent="0.25">
      <c r="A76" s="1">
        <v>73</v>
      </c>
      <c r="B76" s="2">
        <v>0</v>
      </c>
    </row>
    <row r="77" spans="1:2" x14ac:dyDescent="0.25">
      <c r="A77" s="1">
        <v>74</v>
      </c>
      <c r="B77" s="2">
        <v>0</v>
      </c>
    </row>
    <row r="78" spans="1:2" x14ac:dyDescent="0.25">
      <c r="A78" s="1">
        <v>75</v>
      </c>
      <c r="B78" s="2">
        <v>0</v>
      </c>
    </row>
    <row r="79" spans="1:2" x14ac:dyDescent="0.25">
      <c r="A79" s="1">
        <v>76</v>
      </c>
      <c r="B79" s="2">
        <v>0</v>
      </c>
    </row>
    <row r="80" spans="1:2" x14ac:dyDescent="0.25">
      <c r="A80" s="1">
        <v>77</v>
      </c>
      <c r="B80" s="2">
        <v>0</v>
      </c>
    </row>
    <row r="81" spans="1:2" x14ac:dyDescent="0.25">
      <c r="A81" s="1">
        <v>78</v>
      </c>
      <c r="B81" s="2">
        <v>0</v>
      </c>
    </row>
    <row r="82" spans="1:2" x14ac:dyDescent="0.25">
      <c r="A82" s="1">
        <v>79</v>
      </c>
      <c r="B82" s="2">
        <v>0</v>
      </c>
    </row>
    <row r="83" spans="1:2" x14ac:dyDescent="0.25">
      <c r="A83" s="1">
        <v>80</v>
      </c>
      <c r="B83" s="2">
        <v>0</v>
      </c>
    </row>
    <row r="84" spans="1:2" x14ac:dyDescent="0.25">
      <c r="A84" s="1">
        <v>81</v>
      </c>
      <c r="B84" s="2">
        <v>0</v>
      </c>
    </row>
    <row r="85" spans="1:2" x14ac:dyDescent="0.25">
      <c r="A85" s="1">
        <v>82</v>
      </c>
      <c r="B85" s="2">
        <v>0</v>
      </c>
    </row>
    <row r="86" spans="1:2" x14ac:dyDescent="0.25">
      <c r="A86" s="1">
        <v>83</v>
      </c>
      <c r="B86" s="2">
        <v>0</v>
      </c>
    </row>
    <row r="87" spans="1:2" x14ac:dyDescent="0.25">
      <c r="A87" s="1">
        <v>84</v>
      </c>
      <c r="B87" s="2">
        <v>0</v>
      </c>
    </row>
    <row r="88" spans="1:2" x14ac:dyDescent="0.25">
      <c r="A88" s="1">
        <v>85</v>
      </c>
      <c r="B88" s="2">
        <v>0</v>
      </c>
    </row>
    <row r="89" spans="1:2" x14ac:dyDescent="0.25">
      <c r="A89" s="1">
        <v>86</v>
      </c>
      <c r="B89" s="2">
        <v>0</v>
      </c>
    </row>
    <row r="90" spans="1:2" x14ac:dyDescent="0.25">
      <c r="A90" s="1">
        <v>87</v>
      </c>
      <c r="B90" s="2">
        <v>0</v>
      </c>
    </row>
    <row r="91" spans="1:2" x14ac:dyDescent="0.25">
      <c r="A91" s="1">
        <v>88</v>
      </c>
      <c r="B91" s="2">
        <v>0</v>
      </c>
    </row>
    <row r="92" spans="1:2" x14ac:dyDescent="0.25">
      <c r="A92" s="1">
        <v>89</v>
      </c>
      <c r="B92" s="2">
        <v>0</v>
      </c>
    </row>
    <row r="93" spans="1:2" x14ac:dyDescent="0.25">
      <c r="A93" s="1">
        <v>90</v>
      </c>
      <c r="B93" s="2">
        <v>0</v>
      </c>
    </row>
    <row r="94" spans="1:2" x14ac:dyDescent="0.25">
      <c r="A94" s="1">
        <v>91</v>
      </c>
      <c r="B94" s="2">
        <v>0</v>
      </c>
    </row>
    <row r="95" spans="1:2" x14ac:dyDescent="0.25">
      <c r="A95" s="1">
        <v>92</v>
      </c>
      <c r="B95" s="2">
        <v>0</v>
      </c>
    </row>
    <row r="96" spans="1:2" x14ac:dyDescent="0.25">
      <c r="A96" s="1">
        <v>93</v>
      </c>
      <c r="B96" s="2">
        <v>0</v>
      </c>
    </row>
    <row r="97" spans="1:2" x14ac:dyDescent="0.25">
      <c r="A97" s="1">
        <v>94</v>
      </c>
      <c r="B97" s="2">
        <v>0</v>
      </c>
    </row>
    <row r="98" spans="1:2" x14ac:dyDescent="0.25">
      <c r="A98" s="1">
        <v>95</v>
      </c>
      <c r="B98" s="2">
        <v>0</v>
      </c>
    </row>
    <row r="99" spans="1:2" x14ac:dyDescent="0.25">
      <c r="A99" s="1">
        <v>96</v>
      </c>
      <c r="B99" s="2">
        <v>0</v>
      </c>
    </row>
    <row r="100" spans="1:2" x14ac:dyDescent="0.25">
      <c r="A100" s="1">
        <v>97</v>
      </c>
      <c r="B100" s="2">
        <v>0</v>
      </c>
    </row>
    <row r="101" spans="1:2" x14ac:dyDescent="0.25">
      <c r="A101" s="1">
        <v>98</v>
      </c>
      <c r="B101" s="2">
        <v>0</v>
      </c>
    </row>
    <row r="102" spans="1:2" x14ac:dyDescent="0.25">
      <c r="A102" s="1">
        <v>99</v>
      </c>
      <c r="B102" s="2">
        <v>0</v>
      </c>
    </row>
    <row r="103" spans="1:2" x14ac:dyDescent="0.25">
      <c r="A103" s="1">
        <v>100</v>
      </c>
      <c r="B103" s="2">
        <v>0</v>
      </c>
    </row>
    <row r="104" spans="1:2" x14ac:dyDescent="0.25">
      <c r="A104" s="1">
        <v>101</v>
      </c>
      <c r="B104" s="2">
        <v>0</v>
      </c>
    </row>
    <row r="105" spans="1:2" x14ac:dyDescent="0.25">
      <c r="A105" s="1">
        <v>102</v>
      </c>
      <c r="B105" s="2">
        <v>0</v>
      </c>
    </row>
    <row r="106" spans="1:2" x14ac:dyDescent="0.25">
      <c r="A106" s="1">
        <v>103</v>
      </c>
      <c r="B106" s="2">
        <v>0</v>
      </c>
    </row>
    <row r="107" spans="1:2" x14ac:dyDescent="0.25">
      <c r="A107" s="1">
        <v>104</v>
      </c>
      <c r="B107" s="2">
        <v>0</v>
      </c>
    </row>
    <row r="108" spans="1:2" x14ac:dyDescent="0.25">
      <c r="A108" s="1">
        <v>105</v>
      </c>
      <c r="B108" s="2">
        <v>0</v>
      </c>
    </row>
    <row r="109" spans="1:2" x14ac:dyDescent="0.25">
      <c r="A109" s="1">
        <v>106</v>
      </c>
      <c r="B109" s="2">
        <v>0</v>
      </c>
    </row>
    <row r="110" spans="1:2" x14ac:dyDescent="0.25">
      <c r="A110" s="1">
        <v>107</v>
      </c>
      <c r="B110" s="2">
        <v>0</v>
      </c>
    </row>
    <row r="111" spans="1:2" x14ac:dyDescent="0.25">
      <c r="A111" s="1">
        <v>108</v>
      </c>
      <c r="B111" s="2">
        <v>0</v>
      </c>
    </row>
    <row r="112" spans="1:2" x14ac:dyDescent="0.25">
      <c r="A112" s="1">
        <v>109</v>
      </c>
      <c r="B112" s="2">
        <v>0</v>
      </c>
    </row>
    <row r="113" spans="1:2" x14ac:dyDescent="0.25">
      <c r="A113" s="1">
        <v>110</v>
      </c>
      <c r="B113" s="2">
        <v>0</v>
      </c>
    </row>
    <row r="114" spans="1:2" x14ac:dyDescent="0.25">
      <c r="A114" s="1">
        <v>111</v>
      </c>
      <c r="B114" s="2">
        <v>0</v>
      </c>
    </row>
    <row r="115" spans="1:2" x14ac:dyDescent="0.25">
      <c r="A115" s="1">
        <v>112</v>
      </c>
      <c r="B115" s="2">
        <v>0</v>
      </c>
    </row>
    <row r="116" spans="1:2" x14ac:dyDescent="0.25">
      <c r="A116" s="1">
        <v>113</v>
      </c>
      <c r="B116" s="2">
        <v>0</v>
      </c>
    </row>
    <row r="117" spans="1:2" x14ac:dyDescent="0.25">
      <c r="A117" s="1">
        <v>114</v>
      </c>
      <c r="B117" s="2">
        <v>0</v>
      </c>
    </row>
    <row r="118" spans="1:2" x14ac:dyDescent="0.25">
      <c r="A118" s="1">
        <v>115</v>
      </c>
      <c r="B118" s="2">
        <v>0</v>
      </c>
    </row>
    <row r="119" spans="1:2" x14ac:dyDescent="0.25">
      <c r="A119" s="1">
        <v>116</v>
      </c>
      <c r="B119" s="2">
        <v>0</v>
      </c>
    </row>
    <row r="120" spans="1:2" x14ac:dyDescent="0.25">
      <c r="A120" s="1">
        <v>117</v>
      </c>
      <c r="B120" s="2">
        <v>0</v>
      </c>
    </row>
    <row r="121" spans="1:2" x14ac:dyDescent="0.25">
      <c r="A121" s="1">
        <v>118</v>
      </c>
      <c r="B121" s="2">
        <v>0</v>
      </c>
    </row>
    <row r="122" spans="1:2" x14ac:dyDescent="0.25">
      <c r="A122" s="1">
        <v>119</v>
      </c>
      <c r="B122" s="2">
        <v>0</v>
      </c>
    </row>
    <row r="123" spans="1:2" x14ac:dyDescent="0.25">
      <c r="A123" s="1">
        <v>120</v>
      </c>
      <c r="B123" s="2">
        <v>0</v>
      </c>
    </row>
    <row r="124" spans="1:2" x14ac:dyDescent="0.25">
      <c r="A124" s="1">
        <v>121</v>
      </c>
      <c r="B124" s="2">
        <v>0</v>
      </c>
    </row>
    <row r="125" spans="1:2" x14ac:dyDescent="0.25">
      <c r="A125" s="1">
        <v>122</v>
      </c>
      <c r="B125" s="2">
        <v>0</v>
      </c>
    </row>
    <row r="126" spans="1:2" x14ac:dyDescent="0.25">
      <c r="A126" s="1">
        <v>123</v>
      </c>
      <c r="B126" s="2">
        <v>0</v>
      </c>
    </row>
    <row r="127" spans="1:2" x14ac:dyDescent="0.25">
      <c r="A127" s="1">
        <v>124</v>
      </c>
      <c r="B127" s="2">
        <v>0</v>
      </c>
    </row>
    <row r="128" spans="1:2" x14ac:dyDescent="0.25">
      <c r="A128" s="1">
        <v>125</v>
      </c>
      <c r="B128" s="2">
        <v>0</v>
      </c>
    </row>
    <row r="129" spans="1:2" x14ac:dyDescent="0.25">
      <c r="A129" s="1">
        <v>126</v>
      </c>
      <c r="B129" s="2">
        <v>0</v>
      </c>
    </row>
    <row r="130" spans="1:2" x14ac:dyDescent="0.25">
      <c r="A130" s="1">
        <v>127</v>
      </c>
      <c r="B130" s="2">
        <v>0</v>
      </c>
    </row>
    <row r="131" spans="1:2" x14ac:dyDescent="0.25">
      <c r="A131" s="1">
        <v>128</v>
      </c>
      <c r="B131" s="2">
        <v>0</v>
      </c>
    </row>
    <row r="132" spans="1:2" x14ac:dyDescent="0.25">
      <c r="A132" s="1">
        <v>129</v>
      </c>
      <c r="B132" s="2">
        <v>0</v>
      </c>
    </row>
    <row r="133" spans="1:2" x14ac:dyDescent="0.25">
      <c r="A133" s="1">
        <v>130</v>
      </c>
      <c r="B133" s="2">
        <v>0</v>
      </c>
    </row>
    <row r="134" spans="1:2" x14ac:dyDescent="0.25">
      <c r="A134" s="1">
        <v>131</v>
      </c>
      <c r="B134" s="2">
        <v>0</v>
      </c>
    </row>
    <row r="135" spans="1:2" x14ac:dyDescent="0.25">
      <c r="A135" s="1">
        <v>132</v>
      </c>
      <c r="B135" s="2">
        <v>0</v>
      </c>
    </row>
    <row r="136" spans="1:2" x14ac:dyDescent="0.25">
      <c r="A136" s="1">
        <v>133</v>
      </c>
      <c r="B136" s="2">
        <v>0</v>
      </c>
    </row>
    <row r="137" spans="1:2" x14ac:dyDescent="0.25">
      <c r="A137" s="1">
        <v>134</v>
      </c>
      <c r="B137" s="2">
        <v>0</v>
      </c>
    </row>
    <row r="138" spans="1:2" x14ac:dyDescent="0.25">
      <c r="A138" s="1">
        <v>135</v>
      </c>
      <c r="B138" s="2">
        <v>0</v>
      </c>
    </row>
    <row r="139" spans="1:2" x14ac:dyDescent="0.25">
      <c r="A139" s="1">
        <v>136</v>
      </c>
      <c r="B139" s="2">
        <v>0</v>
      </c>
    </row>
    <row r="140" spans="1:2" x14ac:dyDescent="0.25">
      <c r="A140" s="1">
        <v>137</v>
      </c>
      <c r="B140" s="2">
        <v>0</v>
      </c>
    </row>
    <row r="141" spans="1:2" x14ac:dyDescent="0.25">
      <c r="A141" s="1">
        <v>138</v>
      </c>
      <c r="B141" s="2">
        <v>0</v>
      </c>
    </row>
    <row r="142" spans="1:2" x14ac:dyDescent="0.25">
      <c r="A142" s="1">
        <v>139</v>
      </c>
      <c r="B142" s="2">
        <v>0</v>
      </c>
    </row>
    <row r="143" spans="1:2" x14ac:dyDescent="0.25">
      <c r="A143" s="1">
        <v>140</v>
      </c>
      <c r="B143" s="2">
        <v>0</v>
      </c>
    </row>
    <row r="144" spans="1:2" x14ac:dyDescent="0.25">
      <c r="A144" s="1">
        <v>141</v>
      </c>
      <c r="B144" s="2">
        <v>0</v>
      </c>
    </row>
    <row r="145" spans="1:2" x14ac:dyDescent="0.25">
      <c r="A145" s="1">
        <v>142</v>
      </c>
      <c r="B145" s="2">
        <v>0</v>
      </c>
    </row>
    <row r="146" spans="1:2" x14ac:dyDescent="0.25">
      <c r="A146" s="1">
        <v>143</v>
      </c>
      <c r="B146" s="2">
        <v>0</v>
      </c>
    </row>
    <row r="147" spans="1:2" x14ac:dyDescent="0.25">
      <c r="A147" s="1">
        <v>144</v>
      </c>
      <c r="B147" s="2">
        <v>0</v>
      </c>
    </row>
    <row r="148" spans="1:2" x14ac:dyDescent="0.25">
      <c r="A148" s="1">
        <v>145</v>
      </c>
      <c r="B148" s="2">
        <v>0</v>
      </c>
    </row>
    <row r="149" spans="1:2" x14ac:dyDescent="0.25">
      <c r="A149" s="1">
        <v>146</v>
      </c>
      <c r="B149" s="2">
        <v>0</v>
      </c>
    </row>
    <row r="150" spans="1:2" x14ac:dyDescent="0.25">
      <c r="A150" s="1">
        <v>147</v>
      </c>
      <c r="B150" s="2">
        <v>0</v>
      </c>
    </row>
    <row r="151" spans="1:2" x14ac:dyDescent="0.25">
      <c r="A151" s="1">
        <v>148</v>
      </c>
      <c r="B151" s="2">
        <v>0</v>
      </c>
    </row>
    <row r="152" spans="1:2" x14ac:dyDescent="0.25">
      <c r="A152" s="1">
        <v>149</v>
      </c>
      <c r="B152" s="2">
        <v>0</v>
      </c>
    </row>
    <row r="153" spans="1:2" x14ac:dyDescent="0.25">
      <c r="A153" s="1">
        <v>999</v>
      </c>
      <c r="B153" s="2">
        <v>0</v>
      </c>
    </row>
  </sheetData>
  <mergeCells count="1">
    <mergeCell ref="A1:B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workbookViewId="0">
      <selection activeCell="Q11" sqref="Q11"/>
    </sheetView>
  </sheetViews>
  <sheetFormatPr defaultRowHeight="15" x14ac:dyDescent="0.25"/>
  <cols>
    <col min="1" max="1" width="7.42578125" bestFit="1" customWidth="1"/>
    <col min="2" max="2" width="7.140625" bestFit="1" customWidth="1"/>
    <col min="3" max="3" width="5.85546875" bestFit="1" customWidth="1"/>
    <col min="4" max="4" width="24.5703125" bestFit="1" customWidth="1"/>
    <col min="5" max="5" width="7" bestFit="1" customWidth="1"/>
    <col min="6" max="6" width="6.7109375" bestFit="1" customWidth="1"/>
    <col min="7" max="7" width="10.7109375" bestFit="1" customWidth="1"/>
    <col min="8" max="8" width="9.42578125" bestFit="1" customWidth="1"/>
    <col min="9" max="9" width="9.7109375" bestFit="1" customWidth="1"/>
    <col min="10" max="10" width="12" bestFit="1" customWidth="1"/>
    <col min="11" max="11" width="8.42578125" bestFit="1" customWidth="1"/>
    <col min="16" max="16" width="11.85546875" customWidth="1"/>
    <col min="17" max="17" width="12.28515625" customWidth="1"/>
  </cols>
  <sheetData>
    <row r="1" spans="1:17" ht="14.45" x14ac:dyDescent="0.3">
      <c r="A1" s="10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M1" s="21" t="s">
        <v>3</v>
      </c>
      <c r="N1" s="21" t="s">
        <v>226</v>
      </c>
      <c r="O1" s="21" t="s">
        <v>8</v>
      </c>
      <c r="P1" s="21" t="s">
        <v>605</v>
      </c>
      <c r="Q1" s="21" t="s">
        <v>719</v>
      </c>
    </row>
    <row r="2" spans="1:17" ht="14.45" x14ac:dyDescent="0.3">
      <c r="A2" s="13">
        <v>1</v>
      </c>
      <c r="B2" s="14">
        <v>77368</v>
      </c>
      <c r="C2" s="14">
        <v>84</v>
      </c>
      <c r="D2" s="15" t="s">
        <v>35</v>
      </c>
      <c r="E2" s="15" t="s">
        <v>15</v>
      </c>
      <c r="F2" s="14">
        <v>4</v>
      </c>
      <c r="G2" s="15" t="s">
        <v>16</v>
      </c>
      <c r="H2" s="15">
        <v>33.5</v>
      </c>
      <c r="I2" s="15">
        <v>34.950000000000003</v>
      </c>
      <c r="J2" s="15" t="s">
        <v>638</v>
      </c>
      <c r="K2" s="16">
        <v>0</v>
      </c>
      <c r="M2">
        <f t="shared" ref="M2:M33" si="0">B2</f>
        <v>77368</v>
      </c>
      <c r="N2">
        <f>IF(AND(A2&gt;0,A2&lt;999),IFERROR(VLOOKUP(results0118[[#This Row],[Card]],U14M[],1,FALSE),0),0)</f>
        <v>77368</v>
      </c>
      <c r="O2">
        <f t="shared" ref="O2:O33" si="1">A2</f>
        <v>1</v>
      </c>
      <c r="P2">
        <f t="shared" ref="P2:P33" si="2">IFERROR(_xlfn.RANK.EQ(H2,$H$2:$H$114,1),999)</f>
        <v>3</v>
      </c>
      <c r="Q2">
        <f t="shared" ref="Q2:Q33" si="3">IFERROR(_xlfn.RANK.EQ(I2,$I$2:$I$114,1),999)</f>
        <v>2</v>
      </c>
    </row>
    <row r="3" spans="1:17" ht="14.45" x14ac:dyDescent="0.3">
      <c r="A3" s="17">
        <v>2</v>
      </c>
      <c r="B3" s="18">
        <v>80680</v>
      </c>
      <c r="C3" s="18">
        <v>68</v>
      </c>
      <c r="D3" s="19" t="s">
        <v>28</v>
      </c>
      <c r="E3" s="19" t="s">
        <v>15</v>
      </c>
      <c r="F3" s="18">
        <v>4</v>
      </c>
      <c r="G3" s="19" t="s">
        <v>16</v>
      </c>
      <c r="H3" s="19">
        <v>33.020000000000003</v>
      </c>
      <c r="I3" s="19">
        <v>35.6</v>
      </c>
      <c r="J3" s="19" t="s">
        <v>639</v>
      </c>
      <c r="K3" s="20">
        <v>1.79</v>
      </c>
      <c r="M3">
        <f t="shared" si="0"/>
        <v>80680</v>
      </c>
      <c r="N3">
        <f>IF(AND(A3&gt;0,A3&lt;999),IFERROR(VLOOKUP(results0118[[#This Row],[Card]],U14M[],1,FALSE),0),0)</f>
        <v>80680</v>
      </c>
      <c r="O3">
        <f t="shared" si="1"/>
        <v>2</v>
      </c>
      <c r="P3">
        <f t="shared" si="2"/>
        <v>2</v>
      </c>
      <c r="Q3">
        <f t="shared" si="3"/>
        <v>3</v>
      </c>
    </row>
    <row r="4" spans="1:17" ht="14.45" x14ac:dyDescent="0.3">
      <c r="A4" s="13">
        <v>3</v>
      </c>
      <c r="B4" s="14">
        <v>81073</v>
      </c>
      <c r="C4" s="14">
        <v>22</v>
      </c>
      <c r="D4" s="15" t="s">
        <v>40</v>
      </c>
      <c r="E4" s="15" t="s">
        <v>15</v>
      </c>
      <c r="F4" s="14">
        <v>4</v>
      </c>
      <c r="G4" s="15" t="s">
        <v>16</v>
      </c>
      <c r="H4" s="15">
        <v>32.479999999999997</v>
      </c>
      <c r="I4" s="15">
        <v>36.19</v>
      </c>
      <c r="J4" s="15" t="s">
        <v>640</v>
      </c>
      <c r="K4" s="16">
        <v>2.31</v>
      </c>
      <c r="M4">
        <f t="shared" si="0"/>
        <v>81073</v>
      </c>
      <c r="N4">
        <f>IF(AND(A4&gt;0,A4&lt;999),IFERROR(VLOOKUP(results0118[[#This Row],[Card]],U14M[],1,FALSE),0),0)</f>
        <v>81073</v>
      </c>
      <c r="O4">
        <f t="shared" si="1"/>
        <v>3</v>
      </c>
      <c r="P4">
        <f t="shared" si="2"/>
        <v>1</v>
      </c>
      <c r="Q4">
        <f t="shared" si="3"/>
        <v>9</v>
      </c>
    </row>
    <row r="5" spans="1:17" ht="14.45" x14ac:dyDescent="0.3">
      <c r="A5" s="17">
        <v>4</v>
      </c>
      <c r="B5" s="18">
        <v>80669</v>
      </c>
      <c r="C5" s="18">
        <v>87</v>
      </c>
      <c r="D5" s="19" t="s">
        <v>70</v>
      </c>
      <c r="E5" s="19" t="s">
        <v>15</v>
      </c>
      <c r="F5" s="18">
        <v>4</v>
      </c>
      <c r="G5" s="19" t="s">
        <v>16</v>
      </c>
      <c r="H5" s="19">
        <v>34.159999999999997</v>
      </c>
      <c r="I5" s="19">
        <v>36.17</v>
      </c>
      <c r="J5" s="19" t="s">
        <v>641</v>
      </c>
      <c r="K5" s="20">
        <v>19.78</v>
      </c>
      <c r="M5">
        <f t="shared" si="0"/>
        <v>80669</v>
      </c>
      <c r="N5">
        <f>IF(AND(A5&gt;0,A5&lt;999),IFERROR(VLOOKUP(results0118[[#This Row],[Card]],U14M[],1,FALSE),0),0)</f>
        <v>80669</v>
      </c>
      <c r="O5">
        <f t="shared" si="1"/>
        <v>4</v>
      </c>
      <c r="P5">
        <f t="shared" si="2"/>
        <v>5</v>
      </c>
      <c r="Q5">
        <f t="shared" si="3"/>
        <v>8</v>
      </c>
    </row>
    <row r="6" spans="1:17" ht="14.45" x14ac:dyDescent="0.3">
      <c r="A6" s="13">
        <v>5</v>
      </c>
      <c r="B6" s="14">
        <v>80713</v>
      </c>
      <c r="C6" s="14">
        <v>63</v>
      </c>
      <c r="D6" s="15" t="s">
        <v>21</v>
      </c>
      <c r="E6" s="15" t="s">
        <v>22</v>
      </c>
      <c r="F6" s="14">
        <v>4</v>
      </c>
      <c r="G6" s="15" t="s">
        <v>16</v>
      </c>
      <c r="H6" s="15">
        <v>34.68</v>
      </c>
      <c r="I6" s="15">
        <v>35.99</v>
      </c>
      <c r="J6" s="15" t="s">
        <v>642</v>
      </c>
      <c r="K6" s="16">
        <v>23.35</v>
      </c>
      <c r="M6">
        <f t="shared" si="0"/>
        <v>80713</v>
      </c>
      <c r="N6">
        <f>IF(AND(A6&gt;0,A6&lt;999),IFERROR(VLOOKUP(results0118[[#This Row],[Card]],U14M[],1,FALSE),0),0)</f>
        <v>80713</v>
      </c>
      <c r="O6">
        <f t="shared" si="1"/>
        <v>5</v>
      </c>
      <c r="P6">
        <f t="shared" si="2"/>
        <v>7</v>
      </c>
      <c r="Q6">
        <f t="shared" si="3"/>
        <v>6</v>
      </c>
    </row>
    <row r="7" spans="1:17" ht="14.45" x14ac:dyDescent="0.3">
      <c r="A7" s="17">
        <v>6</v>
      </c>
      <c r="B7" s="18">
        <v>78200</v>
      </c>
      <c r="C7" s="18">
        <v>109</v>
      </c>
      <c r="D7" s="19" t="s">
        <v>49</v>
      </c>
      <c r="E7" s="19" t="s">
        <v>31</v>
      </c>
      <c r="F7" s="18">
        <v>5</v>
      </c>
      <c r="G7" s="19" t="s">
        <v>16</v>
      </c>
      <c r="H7" s="19">
        <v>34.909999999999997</v>
      </c>
      <c r="I7" s="19">
        <v>36.14</v>
      </c>
      <c r="J7" s="19" t="s">
        <v>643</v>
      </c>
      <c r="K7" s="20">
        <v>27.35</v>
      </c>
      <c r="M7">
        <f t="shared" si="0"/>
        <v>78200</v>
      </c>
      <c r="N7">
        <f>IF(AND(A7&gt;0,A7&lt;999),IFERROR(VLOOKUP(results0118[[#This Row],[Card]],U14M[],1,FALSE),0),0)</f>
        <v>78200</v>
      </c>
      <c r="O7">
        <f t="shared" si="1"/>
        <v>6</v>
      </c>
      <c r="P7">
        <f t="shared" si="2"/>
        <v>9</v>
      </c>
      <c r="Q7">
        <f t="shared" si="3"/>
        <v>7</v>
      </c>
    </row>
    <row r="8" spans="1:17" ht="14.45" x14ac:dyDescent="0.3">
      <c r="A8" s="13">
        <v>7</v>
      </c>
      <c r="B8" s="14">
        <v>80610</v>
      </c>
      <c r="C8" s="14">
        <v>102</v>
      </c>
      <c r="D8" s="15" t="s">
        <v>219</v>
      </c>
      <c r="E8" s="15" t="s">
        <v>15</v>
      </c>
      <c r="F8" s="14">
        <v>5</v>
      </c>
      <c r="G8" s="15" t="s">
        <v>16</v>
      </c>
      <c r="H8" s="15">
        <v>35.520000000000003</v>
      </c>
      <c r="I8" s="15">
        <v>35.75</v>
      </c>
      <c r="J8" s="15" t="s">
        <v>644</v>
      </c>
      <c r="K8" s="16">
        <v>29.66</v>
      </c>
      <c r="M8">
        <f t="shared" si="0"/>
        <v>80610</v>
      </c>
      <c r="N8">
        <f>IF(AND(A8&gt;0,A8&lt;999),IFERROR(VLOOKUP(results0118[[#This Row],[Card]],U14M[],1,FALSE),0),0)</f>
        <v>80610</v>
      </c>
      <c r="O8">
        <f t="shared" si="1"/>
        <v>7</v>
      </c>
      <c r="P8">
        <f t="shared" si="2"/>
        <v>15</v>
      </c>
      <c r="Q8">
        <f t="shared" si="3"/>
        <v>4</v>
      </c>
    </row>
    <row r="9" spans="1:17" ht="14.45" x14ac:dyDescent="0.3">
      <c r="A9" s="17">
        <v>8</v>
      </c>
      <c r="B9" s="18">
        <v>80685</v>
      </c>
      <c r="C9" s="18">
        <v>74</v>
      </c>
      <c r="D9" s="19" t="s">
        <v>74</v>
      </c>
      <c r="E9" s="19" t="s">
        <v>15</v>
      </c>
      <c r="F9" s="18">
        <v>4</v>
      </c>
      <c r="G9" s="19" t="s">
        <v>16</v>
      </c>
      <c r="H9" s="19">
        <v>35.950000000000003</v>
      </c>
      <c r="I9" s="19">
        <v>35.83</v>
      </c>
      <c r="J9" s="19" t="s">
        <v>645</v>
      </c>
      <c r="K9" s="20">
        <v>35.03</v>
      </c>
      <c r="M9">
        <f t="shared" si="0"/>
        <v>80685</v>
      </c>
      <c r="N9">
        <f>IF(AND(A9&gt;0,A9&lt;999),IFERROR(VLOOKUP(results0118[[#This Row],[Card]],U14M[],1,FALSE),0),0)</f>
        <v>80685</v>
      </c>
      <c r="O9">
        <f t="shared" si="1"/>
        <v>8</v>
      </c>
      <c r="P9">
        <f t="shared" si="2"/>
        <v>25</v>
      </c>
      <c r="Q9">
        <f t="shared" si="3"/>
        <v>5</v>
      </c>
    </row>
    <row r="10" spans="1:17" ht="14.45" x14ac:dyDescent="0.3">
      <c r="A10" s="13">
        <v>9</v>
      </c>
      <c r="B10" s="14">
        <v>80621</v>
      </c>
      <c r="C10" s="14">
        <v>54</v>
      </c>
      <c r="D10" s="15" t="s">
        <v>18</v>
      </c>
      <c r="E10" s="15" t="s">
        <v>19</v>
      </c>
      <c r="F10" s="14">
        <v>4</v>
      </c>
      <c r="G10" s="15" t="s">
        <v>16</v>
      </c>
      <c r="H10" s="15">
        <v>35.15</v>
      </c>
      <c r="I10" s="15">
        <v>36.82</v>
      </c>
      <c r="J10" s="15" t="s">
        <v>646</v>
      </c>
      <c r="K10" s="16">
        <v>37.03</v>
      </c>
      <c r="M10">
        <f t="shared" si="0"/>
        <v>80621</v>
      </c>
      <c r="N10">
        <f>IF(AND(A10&gt;0,A10&lt;999),IFERROR(VLOOKUP(results0118[[#This Row],[Card]],U14M[],1,FALSE),0),0)</f>
        <v>80621</v>
      </c>
      <c r="O10">
        <f t="shared" si="1"/>
        <v>9</v>
      </c>
      <c r="P10">
        <f t="shared" si="2"/>
        <v>12</v>
      </c>
      <c r="Q10">
        <f t="shared" si="3"/>
        <v>13</v>
      </c>
    </row>
    <row r="11" spans="1:17" ht="14.45" x14ac:dyDescent="0.3">
      <c r="A11" s="17">
        <v>10</v>
      </c>
      <c r="B11" s="18">
        <v>84829</v>
      </c>
      <c r="C11" s="18">
        <v>12</v>
      </c>
      <c r="D11" s="19" t="s">
        <v>68</v>
      </c>
      <c r="E11" s="19" t="s">
        <v>15</v>
      </c>
      <c r="F11" s="18">
        <v>5</v>
      </c>
      <c r="G11" s="19" t="s">
        <v>16</v>
      </c>
      <c r="H11" s="19">
        <v>34.03</v>
      </c>
      <c r="I11" s="19">
        <v>37.950000000000003</v>
      </c>
      <c r="J11" s="19" t="s">
        <v>647</v>
      </c>
      <c r="K11" s="20">
        <v>37.130000000000003</v>
      </c>
      <c r="M11">
        <f t="shared" si="0"/>
        <v>84829</v>
      </c>
      <c r="N11">
        <f>IF(AND(A11&gt;0,A11&lt;999),IFERROR(VLOOKUP(results0118[[#This Row],[Card]],U14M[],1,FALSE),0),0)</f>
        <v>84829</v>
      </c>
      <c r="O11">
        <f t="shared" si="1"/>
        <v>10</v>
      </c>
      <c r="P11">
        <f t="shared" si="2"/>
        <v>4</v>
      </c>
      <c r="Q11">
        <f t="shared" si="3"/>
        <v>22</v>
      </c>
    </row>
    <row r="12" spans="1:17" ht="14.45" x14ac:dyDescent="0.3">
      <c r="A12" s="13">
        <v>11</v>
      </c>
      <c r="B12" s="14">
        <v>80709</v>
      </c>
      <c r="C12" s="14">
        <v>73</v>
      </c>
      <c r="D12" s="15" t="s">
        <v>24</v>
      </c>
      <c r="E12" s="15" t="s">
        <v>22</v>
      </c>
      <c r="F12" s="14">
        <v>5</v>
      </c>
      <c r="G12" s="15" t="s">
        <v>16</v>
      </c>
      <c r="H12" s="15">
        <v>35.39</v>
      </c>
      <c r="I12" s="15">
        <v>36.659999999999997</v>
      </c>
      <c r="J12" s="15" t="s">
        <v>648</v>
      </c>
      <c r="K12" s="16">
        <v>37.869999999999997</v>
      </c>
      <c r="M12">
        <f t="shared" si="0"/>
        <v>80709</v>
      </c>
      <c r="N12">
        <f>IF(AND(A12&gt;0,A12&lt;999),IFERROR(VLOOKUP(results0118[[#This Row],[Card]],U14M[],1,FALSE),0),0)</f>
        <v>80709</v>
      </c>
      <c r="O12">
        <f t="shared" si="1"/>
        <v>11</v>
      </c>
      <c r="P12">
        <f t="shared" si="2"/>
        <v>14</v>
      </c>
      <c r="Q12">
        <f t="shared" si="3"/>
        <v>11</v>
      </c>
    </row>
    <row r="13" spans="1:17" ht="14.45" x14ac:dyDescent="0.3">
      <c r="A13" s="17">
        <v>12</v>
      </c>
      <c r="B13" s="18">
        <v>80717</v>
      </c>
      <c r="C13" s="18">
        <v>26</v>
      </c>
      <c r="D13" s="19" t="s">
        <v>26</v>
      </c>
      <c r="E13" s="19" t="s">
        <v>22</v>
      </c>
      <c r="F13" s="18">
        <v>4</v>
      </c>
      <c r="G13" s="19" t="s">
        <v>16</v>
      </c>
      <c r="H13" s="19">
        <v>34.81</v>
      </c>
      <c r="I13" s="19">
        <v>37.409999999999997</v>
      </c>
      <c r="J13" s="19" t="s">
        <v>649</v>
      </c>
      <c r="K13" s="20">
        <v>39.659999999999997</v>
      </c>
      <c r="M13">
        <f t="shared" si="0"/>
        <v>80717</v>
      </c>
      <c r="N13">
        <f>IF(AND(A13&gt;0,A13&lt;999),IFERROR(VLOOKUP(results0118[[#This Row],[Card]],U14M[],1,FALSE),0),0)</f>
        <v>80717</v>
      </c>
      <c r="O13">
        <f t="shared" si="1"/>
        <v>12</v>
      </c>
      <c r="P13">
        <f t="shared" si="2"/>
        <v>8</v>
      </c>
      <c r="Q13">
        <f t="shared" si="3"/>
        <v>17</v>
      </c>
    </row>
    <row r="14" spans="1:17" ht="14.45" x14ac:dyDescent="0.3">
      <c r="A14" s="13">
        <v>13</v>
      </c>
      <c r="B14" s="14">
        <v>80715</v>
      </c>
      <c r="C14" s="14">
        <v>76</v>
      </c>
      <c r="D14" s="15" t="s">
        <v>65</v>
      </c>
      <c r="E14" s="15" t="s">
        <v>22</v>
      </c>
      <c r="F14" s="14">
        <v>4</v>
      </c>
      <c r="G14" s="15" t="s">
        <v>16</v>
      </c>
      <c r="H14" s="15">
        <v>35.72</v>
      </c>
      <c r="I14" s="15">
        <v>36.64</v>
      </c>
      <c r="J14" s="15" t="s">
        <v>650</v>
      </c>
      <c r="K14" s="16">
        <v>41.13</v>
      </c>
      <c r="M14">
        <f t="shared" si="0"/>
        <v>80715</v>
      </c>
      <c r="N14">
        <f>IF(AND(A14&gt;0,A14&lt;999),IFERROR(VLOOKUP(results0118[[#This Row],[Card]],U14M[],1,FALSE),0),0)</f>
        <v>80715</v>
      </c>
      <c r="O14">
        <f t="shared" si="1"/>
        <v>13</v>
      </c>
      <c r="P14">
        <f t="shared" si="2"/>
        <v>21</v>
      </c>
      <c r="Q14">
        <f t="shared" si="3"/>
        <v>10</v>
      </c>
    </row>
    <row r="15" spans="1:17" ht="14.45" x14ac:dyDescent="0.3">
      <c r="A15" s="17">
        <v>14</v>
      </c>
      <c r="B15" s="18">
        <v>80809</v>
      </c>
      <c r="C15" s="18">
        <v>59</v>
      </c>
      <c r="D15" s="19" t="s">
        <v>53</v>
      </c>
      <c r="E15" s="19" t="s">
        <v>54</v>
      </c>
      <c r="F15" s="18">
        <v>4</v>
      </c>
      <c r="G15" s="19" t="s">
        <v>16</v>
      </c>
      <c r="H15" s="19">
        <v>35.26</v>
      </c>
      <c r="I15" s="19">
        <v>37.39</v>
      </c>
      <c r="J15" s="19" t="s">
        <v>651</v>
      </c>
      <c r="K15" s="20">
        <v>44.18</v>
      </c>
      <c r="M15">
        <f t="shared" si="0"/>
        <v>80809</v>
      </c>
      <c r="N15">
        <f>IF(AND(A15&gt;0,A15&lt;999),IFERROR(VLOOKUP(results0118[[#This Row],[Card]],U14M[],1,FALSE),0),0)</f>
        <v>80809</v>
      </c>
      <c r="O15">
        <f t="shared" si="1"/>
        <v>14</v>
      </c>
      <c r="P15">
        <f t="shared" si="2"/>
        <v>13</v>
      </c>
      <c r="Q15">
        <f t="shared" si="3"/>
        <v>16</v>
      </c>
    </row>
    <row r="16" spans="1:17" ht="14.45" x14ac:dyDescent="0.3">
      <c r="A16" s="13">
        <v>15</v>
      </c>
      <c r="B16" s="14">
        <v>81108</v>
      </c>
      <c r="C16" s="14">
        <v>79</v>
      </c>
      <c r="D16" s="15" t="s">
        <v>44</v>
      </c>
      <c r="E16" s="15" t="s">
        <v>22</v>
      </c>
      <c r="F16" s="14">
        <v>5</v>
      </c>
      <c r="G16" s="15" t="s">
        <v>16</v>
      </c>
      <c r="H16" s="15">
        <v>35.840000000000003</v>
      </c>
      <c r="I16" s="15">
        <v>36.93</v>
      </c>
      <c r="J16" s="15" t="s">
        <v>652</v>
      </c>
      <c r="K16" s="16">
        <v>45.44</v>
      </c>
      <c r="M16">
        <f t="shared" si="0"/>
        <v>81108</v>
      </c>
      <c r="N16">
        <f>IF(AND(A16&gt;0,A16&lt;999),IFERROR(VLOOKUP(results0118[[#This Row],[Card]],U14M[],1,FALSE),0),0)</f>
        <v>81108</v>
      </c>
      <c r="O16">
        <f t="shared" si="1"/>
        <v>15</v>
      </c>
      <c r="P16">
        <f t="shared" si="2"/>
        <v>24</v>
      </c>
      <c r="Q16">
        <f t="shared" si="3"/>
        <v>14</v>
      </c>
    </row>
    <row r="17" spans="1:17" ht="14.45" x14ac:dyDescent="0.3">
      <c r="A17" s="17">
        <v>16</v>
      </c>
      <c r="B17" s="18">
        <v>80683</v>
      </c>
      <c r="C17" s="18">
        <v>47</v>
      </c>
      <c r="D17" s="19" t="s">
        <v>67</v>
      </c>
      <c r="E17" s="19" t="s">
        <v>15</v>
      </c>
      <c r="F17" s="18">
        <v>4</v>
      </c>
      <c r="G17" s="19" t="s">
        <v>16</v>
      </c>
      <c r="H17" s="19">
        <v>34.979999999999997</v>
      </c>
      <c r="I17" s="19">
        <v>37.81</v>
      </c>
      <c r="J17" s="19" t="s">
        <v>653</v>
      </c>
      <c r="K17" s="20">
        <v>45.65</v>
      </c>
      <c r="M17">
        <f t="shared" si="0"/>
        <v>80683</v>
      </c>
      <c r="N17">
        <f>IF(AND(A17&gt;0,A17&lt;999),IFERROR(VLOOKUP(results0118[[#This Row],[Card]],U14M[],1,FALSE),0),0)</f>
        <v>80683</v>
      </c>
      <c r="O17">
        <f t="shared" si="1"/>
        <v>16</v>
      </c>
      <c r="P17">
        <f t="shared" si="2"/>
        <v>10</v>
      </c>
      <c r="Q17">
        <f t="shared" si="3"/>
        <v>21</v>
      </c>
    </row>
    <row r="18" spans="1:17" ht="14.45" x14ac:dyDescent="0.3">
      <c r="A18" s="13">
        <v>17</v>
      </c>
      <c r="B18" s="14">
        <v>84763</v>
      </c>
      <c r="C18" s="14">
        <v>6</v>
      </c>
      <c r="D18" s="15" t="s">
        <v>103</v>
      </c>
      <c r="E18" s="15" t="s">
        <v>15</v>
      </c>
      <c r="F18" s="14">
        <v>5</v>
      </c>
      <c r="G18" s="15" t="s">
        <v>16</v>
      </c>
      <c r="H18" s="15">
        <v>34.369999999999997</v>
      </c>
      <c r="I18" s="15">
        <v>38.5</v>
      </c>
      <c r="J18" s="15" t="s">
        <v>654</v>
      </c>
      <c r="K18" s="16">
        <v>46.49</v>
      </c>
      <c r="M18">
        <f t="shared" si="0"/>
        <v>84763</v>
      </c>
      <c r="N18">
        <f>IF(AND(A18&gt;0,A18&lt;999),IFERROR(VLOOKUP(results0118[[#This Row],[Card]],U14M[],1,FALSE),0),0)</f>
        <v>84763</v>
      </c>
      <c r="O18">
        <f t="shared" si="1"/>
        <v>17</v>
      </c>
      <c r="P18">
        <f t="shared" si="2"/>
        <v>6</v>
      </c>
      <c r="Q18">
        <f t="shared" si="3"/>
        <v>27</v>
      </c>
    </row>
    <row r="19" spans="1:17" ht="14.45" x14ac:dyDescent="0.3">
      <c r="A19" s="17">
        <v>18</v>
      </c>
      <c r="B19" s="18">
        <v>82431</v>
      </c>
      <c r="C19" s="18">
        <v>33</v>
      </c>
      <c r="D19" s="19" t="s">
        <v>41</v>
      </c>
      <c r="E19" s="19" t="s">
        <v>42</v>
      </c>
      <c r="F19" s="18">
        <v>4</v>
      </c>
      <c r="G19" s="19" t="s">
        <v>16</v>
      </c>
      <c r="H19" s="19">
        <v>35.82</v>
      </c>
      <c r="I19" s="19">
        <v>37.46</v>
      </c>
      <c r="J19" s="19" t="s">
        <v>655</v>
      </c>
      <c r="K19" s="20">
        <v>50.8</v>
      </c>
      <c r="M19">
        <f t="shared" si="0"/>
        <v>82431</v>
      </c>
      <c r="N19">
        <f>IF(AND(A19&gt;0,A19&lt;999),IFERROR(VLOOKUP(results0118[[#This Row],[Card]],U14M[],1,FALSE),0),0)</f>
        <v>82431</v>
      </c>
      <c r="O19">
        <f t="shared" si="1"/>
        <v>18</v>
      </c>
      <c r="P19">
        <f t="shared" si="2"/>
        <v>23</v>
      </c>
      <c r="Q19">
        <f t="shared" si="3"/>
        <v>18</v>
      </c>
    </row>
    <row r="20" spans="1:17" ht="14.45" x14ac:dyDescent="0.3">
      <c r="A20" s="13">
        <v>19</v>
      </c>
      <c r="B20" s="14">
        <v>80698</v>
      </c>
      <c r="C20" s="14">
        <v>85</v>
      </c>
      <c r="D20" s="15" t="s">
        <v>30</v>
      </c>
      <c r="E20" s="15" t="s">
        <v>31</v>
      </c>
      <c r="F20" s="14">
        <v>4</v>
      </c>
      <c r="G20" s="15" t="s">
        <v>16</v>
      </c>
      <c r="H20" s="15">
        <v>35.090000000000003</v>
      </c>
      <c r="I20" s="15">
        <v>38.409999999999997</v>
      </c>
      <c r="J20" s="15" t="s">
        <v>656</v>
      </c>
      <c r="K20" s="16">
        <v>53.12</v>
      </c>
      <c r="M20">
        <f t="shared" si="0"/>
        <v>80698</v>
      </c>
      <c r="N20">
        <f>IF(AND(A20&gt;0,A20&lt;999),IFERROR(VLOOKUP(results0118[[#This Row],[Card]],U14M[],1,FALSE),0),0)</f>
        <v>80698</v>
      </c>
      <c r="O20">
        <f t="shared" si="1"/>
        <v>19</v>
      </c>
      <c r="P20">
        <f t="shared" si="2"/>
        <v>11</v>
      </c>
      <c r="Q20">
        <f t="shared" si="3"/>
        <v>25</v>
      </c>
    </row>
    <row r="21" spans="1:17" ht="14.45" x14ac:dyDescent="0.3">
      <c r="A21" s="17">
        <v>20</v>
      </c>
      <c r="B21" s="18">
        <v>80722</v>
      </c>
      <c r="C21" s="18">
        <v>106</v>
      </c>
      <c r="D21" s="19" t="s">
        <v>33</v>
      </c>
      <c r="E21" s="19" t="s">
        <v>22</v>
      </c>
      <c r="F21" s="18">
        <v>4</v>
      </c>
      <c r="G21" s="19" t="s">
        <v>16</v>
      </c>
      <c r="H21" s="19">
        <v>36.89</v>
      </c>
      <c r="I21" s="19">
        <v>37.03</v>
      </c>
      <c r="J21" s="19" t="s">
        <v>657</v>
      </c>
      <c r="K21" s="20">
        <v>57.54</v>
      </c>
      <c r="M21">
        <f t="shared" si="0"/>
        <v>80722</v>
      </c>
      <c r="N21">
        <f>IF(AND(A21&gt;0,A21&lt;999),IFERROR(VLOOKUP(results0118[[#This Row],[Card]],U14M[],1,FALSE),0),0)</f>
        <v>80722</v>
      </c>
      <c r="O21">
        <f t="shared" si="1"/>
        <v>20</v>
      </c>
      <c r="P21">
        <f t="shared" si="2"/>
        <v>38</v>
      </c>
      <c r="Q21">
        <f t="shared" si="3"/>
        <v>15</v>
      </c>
    </row>
    <row r="22" spans="1:17" ht="14.45" x14ac:dyDescent="0.3">
      <c r="A22" s="13">
        <v>21</v>
      </c>
      <c r="B22" s="14">
        <v>78610</v>
      </c>
      <c r="C22" s="14">
        <v>30</v>
      </c>
      <c r="D22" s="15" t="s">
        <v>133</v>
      </c>
      <c r="E22" s="15" t="s">
        <v>15</v>
      </c>
      <c r="F22" s="14">
        <v>5</v>
      </c>
      <c r="G22" s="15" t="s">
        <v>16</v>
      </c>
      <c r="H22" s="15">
        <v>35.53</v>
      </c>
      <c r="I22" s="15">
        <v>38.65</v>
      </c>
      <c r="J22" s="15" t="s">
        <v>658</v>
      </c>
      <c r="K22" s="16">
        <v>60.27</v>
      </c>
      <c r="M22">
        <f t="shared" si="0"/>
        <v>78610</v>
      </c>
      <c r="N22">
        <f>IF(AND(A22&gt;0,A22&lt;999),IFERROR(VLOOKUP(results0118[[#This Row],[Card]],U14M[],1,FALSE),0),0)</f>
        <v>78610</v>
      </c>
      <c r="O22">
        <f t="shared" si="1"/>
        <v>21</v>
      </c>
      <c r="P22">
        <f t="shared" si="2"/>
        <v>17</v>
      </c>
      <c r="Q22">
        <f t="shared" si="3"/>
        <v>29</v>
      </c>
    </row>
    <row r="23" spans="1:17" ht="14.45" x14ac:dyDescent="0.3">
      <c r="A23" s="17">
        <v>22</v>
      </c>
      <c r="B23" s="18">
        <v>80625</v>
      </c>
      <c r="C23" s="18">
        <v>61</v>
      </c>
      <c r="D23" s="19" t="s">
        <v>76</v>
      </c>
      <c r="E23" s="19" t="s">
        <v>19</v>
      </c>
      <c r="F23" s="18">
        <v>4</v>
      </c>
      <c r="G23" s="19" t="s">
        <v>16</v>
      </c>
      <c r="H23" s="19">
        <v>36.75</v>
      </c>
      <c r="I23" s="19">
        <v>37.54</v>
      </c>
      <c r="J23" s="19" t="s">
        <v>659</v>
      </c>
      <c r="K23" s="20">
        <v>61.43</v>
      </c>
      <c r="M23">
        <f t="shared" si="0"/>
        <v>80625</v>
      </c>
      <c r="N23">
        <f>IF(AND(A23&gt;0,A23&lt;999),IFERROR(VLOOKUP(results0118[[#This Row],[Card]],U14M[],1,FALSE),0),0)</f>
        <v>80625</v>
      </c>
      <c r="O23">
        <f t="shared" si="1"/>
        <v>22</v>
      </c>
      <c r="P23">
        <f t="shared" si="2"/>
        <v>34</v>
      </c>
      <c r="Q23">
        <f t="shared" si="3"/>
        <v>19</v>
      </c>
    </row>
    <row r="24" spans="1:17" ht="14.45" x14ac:dyDescent="0.3">
      <c r="A24" s="13">
        <v>23</v>
      </c>
      <c r="B24" s="14">
        <v>80729</v>
      </c>
      <c r="C24" s="14">
        <v>7</v>
      </c>
      <c r="D24" s="15" t="s">
        <v>90</v>
      </c>
      <c r="E24" s="15" t="s">
        <v>22</v>
      </c>
      <c r="F24" s="14">
        <v>4</v>
      </c>
      <c r="G24" s="15" t="s">
        <v>16</v>
      </c>
      <c r="H24" s="15">
        <v>35.54</v>
      </c>
      <c r="I24" s="15">
        <v>38.83</v>
      </c>
      <c r="J24" s="15" t="s">
        <v>660</v>
      </c>
      <c r="K24" s="16">
        <v>62.27</v>
      </c>
      <c r="M24">
        <f t="shared" si="0"/>
        <v>80729</v>
      </c>
      <c r="N24">
        <f>IF(AND(A24&gt;0,A24&lt;999),IFERROR(VLOOKUP(results0118[[#This Row],[Card]],U14M[],1,FALSE),0),0)</f>
        <v>80729</v>
      </c>
      <c r="O24">
        <f t="shared" si="1"/>
        <v>23</v>
      </c>
      <c r="P24">
        <f t="shared" si="2"/>
        <v>18</v>
      </c>
      <c r="Q24">
        <f t="shared" si="3"/>
        <v>33</v>
      </c>
    </row>
    <row r="25" spans="1:17" ht="14.45" x14ac:dyDescent="0.3">
      <c r="A25" s="17">
        <v>24</v>
      </c>
      <c r="B25" s="18">
        <v>75018</v>
      </c>
      <c r="C25" s="18">
        <v>90</v>
      </c>
      <c r="D25" s="19" t="s">
        <v>60</v>
      </c>
      <c r="E25" s="19" t="s">
        <v>61</v>
      </c>
      <c r="F25" s="18">
        <v>4</v>
      </c>
      <c r="G25" s="19" t="s">
        <v>16</v>
      </c>
      <c r="H25" s="19">
        <v>36.49</v>
      </c>
      <c r="I25" s="19">
        <v>38.14</v>
      </c>
      <c r="J25" s="19" t="s">
        <v>661</v>
      </c>
      <c r="K25" s="20">
        <v>65.010000000000005</v>
      </c>
      <c r="M25">
        <f t="shared" si="0"/>
        <v>75018</v>
      </c>
      <c r="N25">
        <f>IF(AND(A25&gt;0,A25&lt;999),IFERROR(VLOOKUP(results0118[[#This Row],[Card]],U14M[],1,FALSE),0),0)</f>
        <v>75018</v>
      </c>
      <c r="O25">
        <f t="shared" si="1"/>
        <v>24</v>
      </c>
      <c r="P25">
        <f t="shared" si="2"/>
        <v>31</v>
      </c>
      <c r="Q25">
        <f t="shared" si="3"/>
        <v>23</v>
      </c>
    </row>
    <row r="26" spans="1:17" ht="14.45" x14ac:dyDescent="0.3">
      <c r="A26" s="13">
        <v>25</v>
      </c>
      <c r="B26" s="14">
        <v>76653</v>
      </c>
      <c r="C26" s="14">
        <v>50</v>
      </c>
      <c r="D26" s="15" t="s">
        <v>37</v>
      </c>
      <c r="E26" s="15" t="s">
        <v>38</v>
      </c>
      <c r="F26" s="14">
        <v>4</v>
      </c>
      <c r="G26" s="15" t="s">
        <v>16</v>
      </c>
      <c r="H26" s="15">
        <v>36.01</v>
      </c>
      <c r="I26" s="15">
        <v>38.659999999999997</v>
      </c>
      <c r="J26" s="15" t="s">
        <v>662</v>
      </c>
      <c r="K26" s="16">
        <v>65.430000000000007</v>
      </c>
      <c r="M26">
        <f t="shared" si="0"/>
        <v>76653</v>
      </c>
      <c r="N26">
        <f>IF(AND(A26&gt;0,A26&lt;999),IFERROR(VLOOKUP(results0118[[#This Row],[Card]],U14M[],1,FALSE),0),0)</f>
        <v>76653</v>
      </c>
      <c r="O26">
        <f t="shared" si="1"/>
        <v>25</v>
      </c>
      <c r="P26">
        <f t="shared" si="2"/>
        <v>26</v>
      </c>
      <c r="Q26">
        <f t="shared" si="3"/>
        <v>30</v>
      </c>
    </row>
    <row r="27" spans="1:17" ht="14.45" x14ac:dyDescent="0.3">
      <c r="A27" s="17">
        <v>26</v>
      </c>
      <c r="B27" s="18">
        <v>85235</v>
      </c>
      <c r="C27" s="18">
        <v>81</v>
      </c>
      <c r="D27" s="19" t="s">
        <v>46</v>
      </c>
      <c r="E27" s="19" t="s">
        <v>47</v>
      </c>
      <c r="F27" s="18">
        <v>4</v>
      </c>
      <c r="G27" s="19" t="s">
        <v>16</v>
      </c>
      <c r="H27" s="19">
        <v>36.19</v>
      </c>
      <c r="I27" s="19">
        <v>38.6</v>
      </c>
      <c r="J27" s="19" t="s">
        <v>663</v>
      </c>
      <c r="K27" s="20">
        <v>66.69</v>
      </c>
      <c r="M27">
        <f t="shared" si="0"/>
        <v>85235</v>
      </c>
      <c r="N27">
        <f>IF(AND(A27&gt;0,A27&lt;999),IFERROR(VLOOKUP(results0118[[#This Row],[Card]],U14M[],1,FALSE),0),0)</f>
        <v>85235</v>
      </c>
      <c r="O27">
        <f t="shared" si="1"/>
        <v>26</v>
      </c>
      <c r="P27">
        <f t="shared" si="2"/>
        <v>29</v>
      </c>
      <c r="Q27">
        <f t="shared" si="3"/>
        <v>28</v>
      </c>
    </row>
    <row r="28" spans="1:17" x14ac:dyDescent="0.25">
      <c r="A28" s="13">
        <v>27</v>
      </c>
      <c r="B28" s="14">
        <v>77422</v>
      </c>
      <c r="C28" s="14">
        <v>58</v>
      </c>
      <c r="D28" s="15" t="s">
        <v>84</v>
      </c>
      <c r="E28" s="15" t="s">
        <v>54</v>
      </c>
      <c r="F28" s="14">
        <v>4</v>
      </c>
      <c r="G28" s="15" t="s">
        <v>16</v>
      </c>
      <c r="H28" s="15">
        <v>36.14</v>
      </c>
      <c r="I28" s="15">
        <v>38.700000000000003</v>
      </c>
      <c r="J28" s="15" t="s">
        <v>664</v>
      </c>
      <c r="K28" s="16">
        <v>67.209999999999994</v>
      </c>
      <c r="M28">
        <f t="shared" si="0"/>
        <v>77422</v>
      </c>
      <c r="N28">
        <f>IF(AND(A28&gt;0,A28&lt;999),IFERROR(VLOOKUP(results0118[[#This Row],[Card]],U14M[],1,FALSE),0),0)</f>
        <v>77422</v>
      </c>
      <c r="O28">
        <f t="shared" si="1"/>
        <v>27</v>
      </c>
      <c r="P28">
        <f t="shared" si="2"/>
        <v>28</v>
      </c>
      <c r="Q28">
        <f t="shared" si="3"/>
        <v>31</v>
      </c>
    </row>
    <row r="29" spans="1:17" x14ac:dyDescent="0.25">
      <c r="A29" s="17">
        <v>28</v>
      </c>
      <c r="B29" s="18">
        <v>80618</v>
      </c>
      <c r="C29" s="18">
        <v>11</v>
      </c>
      <c r="D29" s="19" t="s">
        <v>123</v>
      </c>
      <c r="E29" s="19" t="s">
        <v>19</v>
      </c>
      <c r="F29" s="18">
        <v>4</v>
      </c>
      <c r="G29" s="19" t="s">
        <v>16</v>
      </c>
      <c r="H29" s="19">
        <v>35.520000000000003</v>
      </c>
      <c r="I29" s="19">
        <v>39.35</v>
      </c>
      <c r="J29" s="19" t="s">
        <v>665</v>
      </c>
      <c r="K29" s="20">
        <v>67.53</v>
      </c>
      <c r="M29">
        <f t="shared" si="0"/>
        <v>80618</v>
      </c>
      <c r="N29">
        <f>IF(AND(A29&gt;0,A29&lt;999),IFERROR(VLOOKUP(results0118[[#This Row],[Card]],U14M[],1,FALSE),0),0)</f>
        <v>80618</v>
      </c>
      <c r="O29">
        <f t="shared" si="1"/>
        <v>28</v>
      </c>
      <c r="P29">
        <f t="shared" si="2"/>
        <v>15</v>
      </c>
      <c r="Q29">
        <f t="shared" si="3"/>
        <v>37</v>
      </c>
    </row>
    <row r="30" spans="1:17" x14ac:dyDescent="0.25">
      <c r="A30" s="13">
        <v>29</v>
      </c>
      <c r="B30" s="14">
        <v>85883</v>
      </c>
      <c r="C30" s="14">
        <v>16</v>
      </c>
      <c r="D30" s="15" t="s">
        <v>51</v>
      </c>
      <c r="E30" s="15" t="s">
        <v>15</v>
      </c>
      <c r="F30" s="14">
        <v>4</v>
      </c>
      <c r="G30" s="15" t="s">
        <v>16</v>
      </c>
      <c r="H30" s="15">
        <v>35.56</v>
      </c>
      <c r="I30" s="15">
        <v>39.4</v>
      </c>
      <c r="J30" s="15" t="s">
        <v>666</v>
      </c>
      <c r="K30" s="16">
        <v>68.48</v>
      </c>
      <c r="M30">
        <f t="shared" si="0"/>
        <v>85883</v>
      </c>
      <c r="N30">
        <f>IF(AND(A30&gt;0,A30&lt;999),IFERROR(VLOOKUP(results0118[[#This Row],[Card]],U14M[],1,FALSE),0),0)</f>
        <v>85883</v>
      </c>
      <c r="O30">
        <f t="shared" si="1"/>
        <v>29</v>
      </c>
      <c r="P30">
        <f t="shared" si="2"/>
        <v>19</v>
      </c>
      <c r="Q30">
        <f t="shared" si="3"/>
        <v>39</v>
      </c>
    </row>
    <row r="31" spans="1:17" x14ac:dyDescent="0.25">
      <c r="A31" s="17">
        <v>30</v>
      </c>
      <c r="B31" s="18">
        <v>82441</v>
      </c>
      <c r="C31" s="18">
        <v>8</v>
      </c>
      <c r="D31" s="19" t="s">
        <v>96</v>
      </c>
      <c r="E31" s="19" t="s">
        <v>15</v>
      </c>
      <c r="F31" s="18">
        <v>4</v>
      </c>
      <c r="G31" s="19" t="s">
        <v>16</v>
      </c>
      <c r="H31" s="19">
        <v>35.81</v>
      </c>
      <c r="I31" s="19">
        <v>39.299999999999997</v>
      </c>
      <c r="J31" s="19" t="s">
        <v>667</v>
      </c>
      <c r="K31" s="20">
        <v>70.05</v>
      </c>
      <c r="M31">
        <f t="shared" si="0"/>
        <v>82441</v>
      </c>
      <c r="N31">
        <f>IF(AND(A31&gt;0,A31&lt;999),IFERROR(VLOOKUP(results0118[[#This Row],[Card]],U14M[],1,FALSE),0),0)</f>
        <v>82441</v>
      </c>
      <c r="O31">
        <f t="shared" si="1"/>
        <v>30</v>
      </c>
      <c r="P31">
        <f t="shared" si="2"/>
        <v>22</v>
      </c>
      <c r="Q31">
        <f t="shared" si="3"/>
        <v>36</v>
      </c>
    </row>
    <row r="32" spans="1:17" x14ac:dyDescent="0.25">
      <c r="A32" s="13">
        <v>31</v>
      </c>
      <c r="B32" s="14">
        <v>80720</v>
      </c>
      <c r="C32" s="14">
        <v>34</v>
      </c>
      <c r="D32" s="15" t="s">
        <v>98</v>
      </c>
      <c r="E32" s="15" t="s">
        <v>22</v>
      </c>
      <c r="F32" s="14">
        <v>5</v>
      </c>
      <c r="G32" s="15" t="s">
        <v>16</v>
      </c>
      <c r="H32" s="15">
        <v>37.06</v>
      </c>
      <c r="I32" s="15">
        <v>38.409999999999997</v>
      </c>
      <c r="J32" s="15" t="s">
        <v>668</v>
      </c>
      <c r="K32" s="16">
        <v>73.84</v>
      </c>
      <c r="M32">
        <f t="shared" si="0"/>
        <v>80720</v>
      </c>
      <c r="N32">
        <f>IF(AND(A32&gt;0,A32&lt;999),IFERROR(VLOOKUP(results0118[[#This Row],[Card]],U14M[],1,FALSE),0),0)</f>
        <v>80720</v>
      </c>
      <c r="O32">
        <f t="shared" si="1"/>
        <v>31</v>
      </c>
      <c r="P32">
        <f t="shared" si="2"/>
        <v>40</v>
      </c>
      <c r="Q32">
        <f t="shared" si="3"/>
        <v>25</v>
      </c>
    </row>
    <row r="33" spans="1:17" x14ac:dyDescent="0.25">
      <c r="A33" s="17">
        <v>32</v>
      </c>
      <c r="B33" s="18">
        <v>81491</v>
      </c>
      <c r="C33" s="18">
        <v>44</v>
      </c>
      <c r="D33" s="19" t="s">
        <v>105</v>
      </c>
      <c r="E33" s="19" t="s">
        <v>22</v>
      </c>
      <c r="F33" s="18">
        <v>5</v>
      </c>
      <c r="G33" s="19" t="s">
        <v>16</v>
      </c>
      <c r="H33" s="19">
        <v>36.770000000000003</v>
      </c>
      <c r="I33" s="19">
        <v>39.049999999999997</v>
      </c>
      <c r="J33" s="19" t="s">
        <v>669</v>
      </c>
      <c r="K33" s="20">
        <v>77.52</v>
      </c>
      <c r="M33">
        <f t="shared" si="0"/>
        <v>81491</v>
      </c>
      <c r="N33">
        <f>IF(AND(A33&gt;0,A33&lt;999),IFERROR(VLOOKUP(results0118[[#This Row],[Card]],U14M[],1,FALSE),0),0)</f>
        <v>81491</v>
      </c>
      <c r="O33">
        <f t="shared" si="1"/>
        <v>32</v>
      </c>
      <c r="P33">
        <f t="shared" si="2"/>
        <v>35</v>
      </c>
      <c r="Q33">
        <f t="shared" si="3"/>
        <v>34</v>
      </c>
    </row>
    <row r="34" spans="1:17" x14ac:dyDescent="0.25">
      <c r="A34" s="13">
        <v>33</v>
      </c>
      <c r="B34" s="14">
        <v>80682</v>
      </c>
      <c r="C34" s="14">
        <v>105</v>
      </c>
      <c r="D34" s="15" t="s">
        <v>135</v>
      </c>
      <c r="E34" s="15" t="s">
        <v>15</v>
      </c>
      <c r="F34" s="14">
        <v>4</v>
      </c>
      <c r="G34" s="15" t="s">
        <v>16</v>
      </c>
      <c r="H34" s="15">
        <v>37.85</v>
      </c>
      <c r="I34" s="15">
        <v>38.21</v>
      </c>
      <c r="J34" s="15" t="s">
        <v>670</v>
      </c>
      <c r="K34" s="16">
        <v>80.05</v>
      </c>
      <c r="M34">
        <f t="shared" ref="M34:M65" si="4">B34</f>
        <v>80682</v>
      </c>
      <c r="N34">
        <f>IF(AND(A34&gt;0,A34&lt;999),IFERROR(VLOOKUP(results0118[[#This Row],[Card]],U14M[],1,FALSE),0),0)</f>
        <v>80682</v>
      </c>
      <c r="O34">
        <f t="shared" ref="O34:O65" si="5">A34</f>
        <v>33</v>
      </c>
      <c r="P34">
        <f t="shared" ref="P34:P65" si="6">IFERROR(_xlfn.RANK.EQ(H34,$H$2:$H$114,1),999)</f>
        <v>50</v>
      </c>
      <c r="Q34">
        <f t="shared" ref="Q34:Q65" si="7">IFERROR(_xlfn.RANK.EQ(I34,$I$2:$I$114,1),999)</f>
        <v>24</v>
      </c>
    </row>
    <row r="35" spans="1:17" x14ac:dyDescent="0.25">
      <c r="A35" s="17">
        <v>34</v>
      </c>
      <c r="B35" s="18">
        <v>78165</v>
      </c>
      <c r="C35" s="18">
        <v>42</v>
      </c>
      <c r="D35" s="19" t="s">
        <v>119</v>
      </c>
      <c r="E35" s="19" t="s">
        <v>61</v>
      </c>
      <c r="F35" s="18">
        <v>4</v>
      </c>
      <c r="G35" s="19" t="s">
        <v>16</v>
      </c>
      <c r="H35" s="19">
        <v>36.79</v>
      </c>
      <c r="I35" s="19">
        <v>39.799999999999997</v>
      </c>
      <c r="J35" s="19" t="s">
        <v>671</v>
      </c>
      <c r="K35" s="20">
        <v>85.62</v>
      </c>
      <c r="M35">
        <f t="shared" si="4"/>
        <v>78165</v>
      </c>
      <c r="N35">
        <f>IF(AND(A35&gt;0,A35&lt;999),IFERROR(VLOOKUP(results0118[[#This Row],[Card]],U14M[],1,FALSE),0),0)</f>
        <v>78165</v>
      </c>
      <c r="O35">
        <f t="shared" si="5"/>
        <v>34</v>
      </c>
      <c r="P35">
        <f t="shared" si="6"/>
        <v>36</v>
      </c>
      <c r="Q35">
        <f t="shared" si="7"/>
        <v>44</v>
      </c>
    </row>
    <row r="36" spans="1:17" x14ac:dyDescent="0.25">
      <c r="A36" s="13">
        <v>35</v>
      </c>
      <c r="B36" s="14">
        <v>78164</v>
      </c>
      <c r="C36" s="14">
        <v>96</v>
      </c>
      <c r="D36" s="15" t="s">
        <v>129</v>
      </c>
      <c r="E36" s="15" t="s">
        <v>61</v>
      </c>
      <c r="F36" s="14">
        <v>5</v>
      </c>
      <c r="G36" s="15" t="s">
        <v>16</v>
      </c>
      <c r="H36" s="15">
        <v>37.24</v>
      </c>
      <c r="I36" s="15">
        <v>39.380000000000003</v>
      </c>
      <c r="J36" s="15" t="s">
        <v>672</v>
      </c>
      <c r="K36" s="16">
        <v>85.94</v>
      </c>
      <c r="M36">
        <f t="shared" si="4"/>
        <v>78164</v>
      </c>
      <c r="N36">
        <f>IF(AND(A36&gt;0,A36&lt;999),IFERROR(VLOOKUP(results0118[[#This Row],[Card]],U14M[],1,FALSE),0),0)</f>
        <v>78164</v>
      </c>
      <c r="O36">
        <f t="shared" si="5"/>
        <v>35</v>
      </c>
      <c r="P36">
        <f t="shared" si="6"/>
        <v>42</v>
      </c>
      <c r="Q36">
        <f t="shared" si="7"/>
        <v>38</v>
      </c>
    </row>
    <row r="37" spans="1:17" x14ac:dyDescent="0.25">
      <c r="A37" s="17">
        <v>35</v>
      </c>
      <c r="B37" s="18">
        <v>80718</v>
      </c>
      <c r="C37" s="18">
        <v>28</v>
      </c>
      <c r="D37" s="19" t="s">
        <v>94</v>
      </c>
      <c r="E37" s="19" t="s">
        <v>22</v>
      </c>
      <c r="F37" s="18">
        <v>4</v>
      </c>
      <c r="G37" s="19" t="s">
        <v>16</v>
      </c>
      <c r="H37" s="19">
        <v>36.86</v>
      </c>
      <c r="I37" s="19">
        <v>39.76</v>
      </c>
      <c r="J37" s="19" t="s">
        <v>672</v>
      </c>
      <c r="K37" s="20">
        <v>85.94</v>
      </c>
      <c r="M37">
        <f t="shared" si="4"/>
        <v>80718</v>
      </c>
      <c r="N37">
        <f>IF(AND(A37&gt;0,A37&lt;999),IFERROR(VLOOKUP(results0118[[#This Row],[Card]],U14M[],1,FALSE),0),0)</f>
        <v>80718</v>
      </c>
      <c r="O37">
        <f t="shared" si="5"/>
        <v>35</v>
      </c>
      <c r="P37">
        <f t="shared" si="6"/>
        <v>37</v>
      </c>
      <c r="Q37">
        <f t="shared" si="7"/>
        <v>43</v>
      </c>
    </row>
    <row r="38" spans="1:17" x14ac:dyDescent="0.25">
      <c r="A38" s="13">
        <v>37</v>
      </c>
      <c r="B38" s="14">
        <v>78276</v>
      </c>
      <c r="C38" s="14">
        <v>36</v>
      </c>
      <c r="D38" s="15" t="s">
        <v>92</v>
      </c>
      <c r="E38" s="15" t="s">
        <v>31</v>
      </c>
      <c r="F38" s="14">
        <v>4</v>
      </c>
      <c r="G38" s="15" t="s">
        <v>16</v>
      </c>
      <c r="H38" s="15">
        <v>36.65</v>
      </c>
      <c r="I38" s="15">
        <v>40.130000000000003</v>
      </c>
      <c r="J38" s="15" t="s">
        <v>673</v>
      </c>
      <c r="K38" s="16">
        <v>87.62</v>
      </c>
      <c r="M38">
        <f t="shared" si="4"/>
        <v>78276</v>
      </c>
      <c r="N38">
        <f>IF(AND(A38&gt;0,A38&lt;999),IFERROR(VLOOKUP(results0118[[#This Row],[Card]],U14M[],1,FALSE),0),0)</f>
        <v>78276</v>
      </c>
      <c r="O38">
        <f t="shared" si="5"/>
        <v>37</v>
      </c>
      <c r="P38">
        <f t="shared" si="6"/>
        <v>33</v>
      </c>
      <c r="Q38">
        <f t="shared" si="7"/>
        <v>46</v>
      </c>
    </row>
    <row r="39" spans="1:17" x14ac:dyDescent="0.25">
      <c r="A39" s="17">
        <v>38</v>
      </c>
      <c r="B39" s="18">
        <v>78619</v>
      </c>
      <c r="C39" s="18">
        <v>57</v>
      </c>
      <c r="D39" s="19" t="s">
        <v>121</v>
      </c>
      <c r="E39" s="19" t="s">
        <v>61</v>
      </c>
      <c r="F39" s="18">
        <v>4</v>
      </c>
      <c r="G39" s="19" t="s">
        <v>16</v>
      </c>
      <c r="H39" s="19">
        <v>37.71</v>
      </c>
      <c r="I39" s="19">
        <v>39.24</v>
      </c>
      <c r="J39" s="19" t="s">
        <v>674</v>
      </c>
      <c r="K39" s="20">
        <v>89.41</v>
      </c>
      <c r="M39">
        <f t="shared" si="4"/>
        <v>78619</v>
      </c>
      <c r="N39">
        <f>IF(AND(A39&gt;0,A39&lt;999),IFERROR(VLOOKUP(results0118[[#This Row],[Card]],U14M[],1,FALSE),0),0)</f>
        <v>78619</v>
      </c>
      <c r="O39">
        <f t="shared" si="5"/>
        <v>38</v>
      </c>
      <c r="P39">
        <f t="shared" si="6"/>
        <v>47</v>
      </c>
      <c r="Q39">
        <f t="shared" si="7"/>
        <v>35</v>
      </c>
    </row>
    <row r="40" spans="1:17" x14ac:dyDescent="0.25">
      <c r="A40" s="13">
        <v>39</v>
      </c>
      <c r="B40" s="14">
        <v>80690</v>
      </c>
      <c r="C40" s="14">
        <v>78</v>
      </c>
      <c r="D40" s="15" t="s">
        <v>148</v>
      </c>
      <c r="E40" s="15" t="s">
        <v>31</v>
      </c>
      <c r="F40" s="14">
        <v>5</v>
      </c>
      <c r="G40" s="15" t="s">
        <v>16</v>
      </c>
      <c r="H40" s="15">
        <v>37.520000000000003</v>
      </c>
      <c r="I40" s="15">
        <v>39.74</v>
      </c>
      <c r="J40" s="15" t="s">
        <v>675</v>
      </c>
      <c r="K40" s="16">
        <v>92.67</v>
      </c>
      <c r="M40">
        <f t="shared" si="4"/>
        <v>80690</v>
      </c>
      <c r="N40">
        <f>IF(AND(A40&gt;0,A40&lt;999),IFERROR(VLOOKUP(results0118[[#This Row],[Card]],U14M[],1,FALSE),0),0)</f>
        <v>80690</v>
      </c>
      <c r="O40">
        <f t="shared" si="5"/>
        <v>39</v>
      </c>
      <c r="P40">
        <f t="shared" si="6"/>
        <v>45</v>
      </c>
      <c r="Q40">
        <f t="shared" si="7"/>
        <v>41</v>
      </c>
    </row>
    <row r="41" spans="1:17" x14ac:dyDescent="0.25">
      <c r="A41" s="17">
        <v>40</v>
      </c>
      <c r="B41" s="18">
        <v>81810</v>
      </c>
      <c r="C41" s="18">
        <v>94</v>
      </c>
      <c r="D41" s="19" t="s">
        <v>329</v>
      </c>
      <c r="E41" s="19" t="s">
        <v>54</v>
      </c>
      <c r="F41" s="18">
        <v>4</v>
      </c>
      <c r="G41" s="19" t="s">
        <v>16</v>
      </c>
      <c r="H41" s="19">
        <v>37.83</v>
      </c>
      <c r="I41" s="19">
        <v>39.5</v>
      </c>
      <c r="J41" s="19" t="s">
        <v>676</v>
      </c>
      <c r="K41" s="20">
        <v>93.41</v>
      </c>
      <c r="M41">
        <f t="shared" si="4"/>
        <v>81810</v>
      </c>
      <c r="N41">
        <f>IF(AND(A41&gt;0,A41&lt;999),IFERROR(VLOOKUP(results0118[[#This Row],[Card]],U14M[],1,FALSE),0),0)</f>
        <v>81810</v>
      </c>
      <c r="O41">
        <f t="shared" si="5"/>
        <v>40</v>
      </c>
      <c r="P41">
        <f t="shared" si="6"/>
        <v>49</v>
      </c>
      <c r="Q41">
        <f t="shared" si="7"/>
        <v>40</v>
      </c>
    </row>
    <row r="42" spans="1:17" x14ac:dyDescent="0.25">
      <c r="A42" s="13">
        <v>41</v>
      </c>
      <c r="B42" s="14">
        <v>80828</v>
      </c>
      <c r="C42" s="14">
        <v>43</v>
      </c>
      <c r="D42" s="15" t="s">
        <v>88</v>
      </c>
      <c r="E42" s="15" t="s">
        <v>54</v>
      </c>
      <c r="F42" s="14">
        <v>5</v>
      </c>
      <c r="G42" s="15" t="s">
        <v>16</v>
      </c>
      <c r="H42" s="15">
        <v>37.76</v>
      </c>
      <c r="I42" s="15">
        <v>39.75</v>
      </c>
      <c r="J42" s="15" t="s">
        <v>677</v>
      </c>
      <c r="K42" s="16">
        <v>95.3</v>
      </c>
      <c r="M42">
        <f t="shared" si="4"/>
        <v>80828</v>
      </c>
      <c r="N42">
        <f>IF(AND(A42&gt;0,A42&lt;999),IFERROR(VLOOKUP(results0118[[#This Row],[Card]],U14M[],1,FALSE),0),0)</f>
        <v>80828</v>
      </c>
      <c r="O42">
        <f t="shared" si="5"/>
        <v>41</v>
      </c>
      <c r="P42">
        <f t="shared" si="6"/>
        <v>48</v>
      </c>
      <c r="Q42">
        <f t="shared" si="7"/>
        <v>42</v>
      </c>
    </row>
    <row r="43" spans="1:17" x14ac:dyDescent="0.25">
      <c r="A43" s="17">
        <v>42</v>
      </c>
      <c r="B43" s="18">
        <v>78680</v>
      </c>
      <c r="C43" s="18">
        <v>111</v>
      </c>
      <c r="D43" s="19" t="s">
        <v>127</v>
      </c>
      <c r="E43" s="19" t="s">
        <v>22</v>
      </c>
      <c r="F43" s="18">
        <v>5</v>
      </c>
      <c r="G43" s="19" t="s">
        <v>16</v>
      </c>
      <c r="H43" s="19">
        <v>38.21</v>
      </c>
      <c r="I43" s="19">
        <v>40.020000000000003</v>
      </c>
      <c r="J43" s="19" t="s">
        <v>678</v>
      </c>
      <c r="K43" s="20">
        <v>102.87</v>
      </c>
      <c r="M43">
        <f t="shared" si="4"/>
        <v>78680</v>
      </c>
      <c r="N43">
        <f>IF(AND(A43&gt;0,A43&lt;999),IFERROR(VLOOKUP(results0118[[#This Row],[Card]],U14M[],1,FALSE),0),0)</f>
        <v>78680</v>
      </c>
      <c r="O43">
        <f t="shared" si="5"/>
        <v>42</v>
      </c>
      <c r="P43">
        <f t="shared" si="6"/>
        <v>53</v>
      </c>
      <c r="Q43">
        <f t="shared" si="7"/>
        <v>45</v>
      </c>
    </row>
    <row r="44" spans="1:17" x14ac:dyDescent="0.25">
      <c r="A44" s="13">
        <v>43</v>
      </c>
      <c r="B44" s="14">
        <v>85772</v>
      </c>
      <c r="C44" s="14">
        <v>23</v>
      </c>
      <c r="D44" s="15" t="s">
        <v>196</v>
      </c>
      <c r="E44" s="15" t="s">
        <v>15</v>
      </c>
      <c r="F44" s="14">
        <v>5</v>
      </c>
      <c r="G44" s="15" t="s">
        <v>16</v>
      </c>
      <c r="H44" s="15">
        <v>37.28</v>
      </c>
      <c r="I44" s="15">
        <v>40.97</v>
      </c>
      <c r="J44" s="15" t="s">
        <v>679</v>
      </c>
      <c r="K44" s="16">
        <v>103.08</v>
      </c>
      <c r="M44">
        <f t="shared" si="4"/>
        <v>85772</v>
      </c>
      <c r="N44">
        <f>IF(AND(A44&gt;0,A44&lt;999),IFERROR(VLOOKUP(results0118[[#This Row],[Card]],U14M[],1,FALSE),0),0)</f>
        <v>85772</v>
      </c>
      <c r="O44">
        <f t="shared" si="5"/>
        <v>43</v>
      </c>
      <c r="P44">
        <f t="shared" si="6"/>
        <v>43</v>
      </c>
      <c r="Q44">
        <f t="shared" si="7"/>
        <v>54</v>
      </c>
    </row>
    <row r="45" spans="1:17" x14ac:dyDescent="0.25">
      <c r="A45" s="17">
        <v>44</v>
      </c>
      <c r="B45" s="18">
        <v>86143</v>
      </c>
      <c r="C45" s="18">
        <v>64</v>
      </c>
      <c r="D45" s="19" t="s">
        <v>125</v>
      </c>
      <c r="E45" s="19" t="s">
        <v>42</v>
      </c>
      <c r="F45" s="18">
        <v>4</v>
      </c>
      <c r="G45" s="19" t="s">
        <v>16</v>
      </c>
      <c r="H45" s="19">
        <v>38.14</v>
      </c>
      <c r="I45" s="19">
        <v>40.299999999999997</v>
      </c>
      <c r="J45" s="19" t="s">
        <v>680</v>
      </c>
      <c r="K45" s="20">
        <v>105.08</v>
      </c>
      <c r="M45">
        <f t="shared" si="4"/>
        <v>86143</v>
      </c>
      <c r="N45">
        <f>IF(AND(A45&gt;0,A45&lt;999),IFERROR(VLOOKUP(results0118[[#This Row],[Card]],U14M[],1,FALSE),0),0)</f>
        <v>86143</v>
      </c>
      <c r="O45">
        <f t="shared" si="5"/>
        <v>44</v>
      </c>
      <c r="P45">
        <f t="shared" si="6"/>
        <v>51</v>
      </c>
      <c r="Q45">
        <f t="shared" si="7"/>
        <v>47</v>
      </c>
    </row>
    <row r="46" spans="1:17" x14ac:dyDescent="0.25">
      <c r="A46" s="13">
        <v>45</v>
      </c>
      <c r="B46" s="14">
        <v>86113</v>
      </c>
      <c r="C46" s="14">
        <v>20</v>
      </c>
      <c r="D46" s="15" t="s">
        <v>142</v>
      </c>
      <c r="E46" s="15" t="s">
        <v>101</v>
      </c>
      <c r="F46" s="14">
        <v>5</v>
      </c>
      <c r="G46" s="15" t="s">
        <v>16</v>
      </c>
      <c r="H46" s="15">
        <v>37.58</v>
      </c>
      <c r="I46" s="15">
        <v>41.38</v>
      </c>
      <c r="J46" s="15" t="s">
        <v>395</v>
      </c>
      <c r="K46" s="16">
        <v>110.55</v>
      </c>
      <c r="M46">
        <f t="shared" si="4"/>
        <v>86113</v>
      </c>
      <c r="N46">
        <f>IF(AND(A46&gt;0,A46&lt;999),IFERROR(VLOOKUP(results0118[[#This Row],[Card]],U14M[],1,FALSE),0),0)</f>
        <v>86113</v>
      </c>
      <c r="O46">
        <f t="shared" si="5"/>
        <v>45</v>
      </c>
      <c r="P46">
        <f t="shared" si="6"/>
        <v>46</v>
      </c>
      <c r="Q46">
        <f t="shared" si="7"/>
        <v>61</v>
      </c>
    </row>
    <row r="47" spans="1:17" x14ac:dyDescent="0.25">
      <c r="A47" s="17">
        <v>46</v>
      </c>
      <c r="B47" s="18">
        <v>81500</v>
      </c>
      <c r="C47" s="18">
        <v>24</v>
      </c>
      <c r="D47" s="19" t="s">
        <v>131</v>
      </c>
      <c r="E47" s="19" t="s">
        <v>22</v>
      </c>
      <c r="F47" s="18">
        <v>5</v>
      </c>
      <c r="G47" s="19" t="s">
        <v>16</v>
      </c>
      <c r="H47" s="19">
        <v>38.270000000000003</v>
      </c>
      <c r="I47" s="19">
        <v>41.06</v>
      </c>
      <c r="J47" s="19" t="s">
        <v>681</v>
      </c>
      <c r="K47" s="20">
        <v>114.44</v>
      </c>
      <c r="M47">
        <f t="shared" si="4"/>
        <v>81500</v>
      </c>
      <c r="N47">
        <f>IF(AND(A47&gt;0,A47&lt;999),IFERROR(VLOOKUP(results0118[[#This Row],[Card]],U14M[],1,FALSE),0),0)</f>
        <v>81500</v>
      </c>
      <c r="O47">
        <f t="shared" si="5"/>
        <v>46</v>
      </c>
      <c r="P47">
        <f t="shared" si="6"/>
        <v>54</v>
      </c>
      <c r="Q47">
        <f t="shared" si="7"/>
        <v>56</v>
      </c>
    </row>
    <row r="48" spans="1:17" x14ac:dyDescent="0.25">
      <c r="A48" s="13">
        <v>47</v>
      </c>
      <c r="B48" s="14">
        <v>81879</v>
      </c>
      <c r="C48" s="14">
        <v>62</v>
      </c>
      <c r="D48" s="15" t="s">
        <v>146</v>
      </c>
      <c r="E48" s="15" t="s">
        <v>22</v>
      </c>
      <c r="F48" s="14">
        <v>5</v>
      </c>
      <c r="G48" s="15" t="s">
        <v>16</v>
      </c>
      <c r="H48" s="15">
        <v>38.869999999999997</v>
      </c>
      <c r="I48" s="15">
        <v>40.47</v>
      </c>
      <c r="J48" s="15" t="s">
        <v>682</v>
      </c>
      <c r="K48" s="16">
        <v>114.55</v>
      </c>
      <c r="M48">
        <f t="shared" si="4"/>
        <v>81879</v>
      </c>
      <c r="N48">
        <f>IF(AND(A48&gt;0,A48&lt;999),IFERROR(VLOOKUP(results0118[[#This Row],[Card]],U14M[],1,FALSE),0),0)</f>
        <v>81879</v>
      </c>
      <c r="O48">
        <f t="shared" si="5"/>
        <v>47</v>
      </c>
      <c r="P48">
        <f t="shared" si="6"/>
        <v>57</v>
      </c>
      <c r="Q48">
        <f t="shared" si="7"/>
        <v>48</v>
      </c>
    </row>
    <row r="49" spans="1:17" x14ac:dyDescent="0.25">
      <c r="A49" s="17">
        <v>48</v>
      </c>
      <c r="B49" s="18">
        <v>81455</v>
      </c>
      <c r="C49" s="18">
        <v>39</v>
      </c>
      <c r="D49" s="19" t="s">
        <v>171</v>
      </c>
      <c r="E49" s="19" t="s">
        <v>19</v>
      </c>
      <c r="F49" s="18">
        <v>5</v>
      </c>
      <c r="G49" s="19" t="s">
        <v>16</v>
      </c>
      <c r="H49" s="19">
        <v>38.19</v>
      </c>
      <c r="I49" s="19">
        <v>41.28</v>
      </c>
      <c r="J49" s="19" t="s">
        <v>683</v>
      </c>
      <c r="K49" s="20">
        <v>115.92</v>
      </c>
      <c r="M49">
        <f t="shared" si="4"/>
        <v>81455</v>
      </c>
      <c r="N49">
        <f>IF(AND(A49&gt;0,A49&lt;999),IFERROR(VLOOKUP(results0118[[#This Row],[Card]],U14M[],1,FALSE),0),0)</f>
        <v>81455</v>
      </c>
      <c r="O49">
        <f t="shared" si="5"/>
        <v>48</v>
      </c>
      <c r="P49">
        <f t="shared" si="6"/>
        <v>52</v>
      </c>
      <c r="Q49">
        <f t="shared" si="7"/>
        <v>59</v>
      </c>
    </row>
    <row r="50" spans="1:17" x14ac:dyDescent="0.25">
      <c r="A50" s="13">
        <v>49</v>
      </c>
      <c r="B50" s="14">
        <v>78178</v>
      </c>
      <c r="C50" s="14">
        <v>91</v>
      </c>
      <c r="D50" s="15" t="s">
        <v>194</v>
      </c>
      <c r="E50" s="15" t="s">
        <v>61</v>
      </c>
      <c r="F50" s="14">
        <v>4</v>
      </c>
      <c r="G50" s="15" t="s">
        <v>16</v>
      </c>
      <c r="H50" s="15">
        <v>38.51</v>
      </c>
      <c r="I50" s="15">
        <v>41.12</v>
      </c>
      <c r="J50" s="15" t="s">
        <v>684</v>
      </c>
      <c r="K50" s="16">
        <v>117.6</v>
      </c>
      <c r="M50">
        <f t="shared" si="4"/>
        <v>78178</v>
      </c>
      <c r="N50">
        <f>IF(AND(A50&gt;0,A50&lt;999),IFERROR(VLOOKUP(results0118[[#This Row],[Card]],U14M[],1,FALSE),0),0)</f>
        <v>78178</v>
      </c>
      <c r="O50">
        <f t="shared" si="5"/>
        <v>49</v>
      </c>
      <c r="P50">
        <f t="shared" si="6"/>
        <v>55</v>
      </c>
      <c r="Q50">
        <f t="shared" si="7"/>
        <v>57</v>
      </c>
    </row>
    <row r="51" spans="1:17" x14ac:dyDescent="0.25">
      <c r="A51" s="17">
        <v>50</v>
      </c>
      <c r="B51" s="18">
        <v>81481</v>
      </c>
      <c r="C51" s="18">
        <v>98</v>
      </c>
      <c r="D51" s="19" t="s">
        <v>182</v>
      </c>
      <c r="E51" s="19" t="s">
        <v>31</v>
      </c>
      <c r="F51" s="18">
        <v>4</v>
      </c>
      <c r="G51" s="19" t="s">
        <v>16</v>
      </c>
      <c r="H51" s="19">
        <v>39.21</v>
      </c>
      <c r="I51" s="19">
        <v>40.64</v>
      </c>
      <c r="J51" s="19" t="s">
        <v>685</v>
      </c>
      <c r="K51" s="20">
        <v>119.91</v>
      </c>
      <c r="M51">
        <f t="shared" si="4"/>
        <v>81481</v>
      </c>
      <c r="N51">
        <f>IF(AND(A51&gt;0,A51&lt;999),IFERROR(VLOOKUP(results0118[[#This Row],[Card]],U14M[],1,FALSE),0),0)</f>
        <v>81481</v>
      </c>
      <c r="O51">
        <f t="shared" si="5"/>
        <v>50</v>
      </c>
      <c r="P51">
        <f t="shared" si="6"/>
        <v>64</v>
      </c>
      <c r="Q51">
        <f t="shared" si="7"/>
        <v>50</v>
      </c>
    </row>
    <row r="52" spans="1:17" x14ac:dyDescent="0.25">
      <c r="A52" s="13">
        <v>51</v>
      </c>
      <c r="B52" s="14">
        <v>76572</v>
      </c>
      <c r="C52" s="14">
        <v>55</v>
      </c>
      <c r="D52" s="15" t="s">
        <v>109</v>
      </c>
      <c r="E52" s="15" t="s">
        <v>38</v>
      </c>
      <c r="F52" s="14">
        <v>4</v>
      </c>
      <c r="G52" s="15" t="s">
        <v>16</v>
      </c>
      <c r="H52" s="15">
        <v>39.340000000000003</v>
      </c>
      <c r="I52" s="15">
        <v>40.93</v>
      </c>
      <c r="J52" s="15" t="s">
        <v>686</v>
      </c>
      <c r="K52" s="16">
        <v>124.33</v>
      </c>
      <c r="M52">
        <f t="shared" si="4"/>
        <v>76572</v>
      </c>
      <c r="N52">
        <f>IF(AND(A52&gt;0,A52&lt;999),IFERROR(VLOOKUP(results0118[[#This Row],[Card]],U14M[],1,FALSE),0),0)</f>
        <v>76572</v>
      </c>
      <c r="O52">
        <f t="shared" si="5"/>
        <v>51</v>
      </c>
      <c r="P52">
        <f t="shared" si="6"/>
        <v>66</v>
      </c>
      <c r="Q52">
        <f t="shared" si="7"/>
        <v>52</v>
      </c>
    </row>
    <row r="53" spans="1:17" x14ac:dyDescent="0.25">
      <c r="A53" s="17">
        <v>52</v>
      </c>
      <c r="B53" s="18">
        <v>80714</v>
      </c>
      <c r="C53" s="18">
        <v>107</v>
      </c>
      <c r="D53" s="19" t="s">
        <v>152</v>
      </c>
      <c r="E53" s="19" t="s">
        <v>22</v>
      </c>
      <c r="F53" s="18">
        <v>5</v>
      </c>
      <c r="G53" s="19" t="s">
        <v>16</v>
      </c>
      <c r="H53" s="19">
        <v>39.880000000000003</v>
      </c>
      <c r="I53" s="19">
        <v>40.51</v>
      </c>
      <c r="J53" s="19" t="s">
        <v>687</v>
      </c>
      <c r="K53" s="20">
        <v>125.59</v>
      </c>
      <c r="M53">
        <f t="shared" si="4"/>
        <v>80714</v>
      </c>
      <c r="N53">
        <f>IF(AND(A53&gt;0,A53&lt;999),IFERROR(VLOOKUP(results0118[[#This Row],[Card]],U14M[],1,FALSE),0),0)</f>
        <v>80714</v>
      </c>
      <c r="O53">
        <f t="shared" si="5"/>
        <v>52</v>
      </c>
      <c r="P53">
        <f t="shared" si="6"/>
        <v>71</v>
      </c>
      <c r="Q53">
        <f t="shared" si="7"/>
        <v>49</v>
      </c>
    </row>
    <row r="54" spans="1:17" x14ac:dyDescent="0.25">
      <c r="A54" s="13">
        <v>53</v>
      </c>
      <c r="B54" s="14">
        <v>84722</v>
      </c>
      <c r="C54" s="14">
        <v>49</v>
      </c>
      <c r="D54" s="15" t="s">
        <v>169</v>
      </c>
      <c r="E54" s="15" t="s">
        <v>61</v>
      </c>
      <c r="F54" s="14">
        <v>4</v>
      </c>
      <c r="G54" s="15" t="s">
        <v>16</v>
      </c>
      <c r="H54" s="15">
        <v>39.51</v>
      </c>
      <c r="I54" s="15">
        <v>40.950000000000003</v>
      </c>
      <c r="J54" s="15" t="s">
        <v>688</v>
      </c>
      <c r="K54" s="16">
        <v>126.33</v>
      </c>
      <c r="M54">
        <f t="shared" si="4"/>
        <v>84722</v>
      </c>
      <c r="N54">
        <f>IF(AND(A54&gt;0,A54&lt;999),IFERROR(VLOOKUP(results0118[[#This Row],[Card]],U14M[],1,FALSE),0),0)</f>
        <v>84722</v>
      </c>
      <c r="O54">
        <f t="shared" si="5"/>
        <v>53</v>
      </c>
      <c r="P54">
        <f t="shared" si="6"/>
        <v>68</v>
      </c>
      <c r="Q54">
        <f t="shared" si="7"/>
        <v>53</v>
      </c>
    </row>
    <row r="55" spans="1:17" x14ac:dyDescent="0.25">
      <c r="A55" s="17">
        <v>54</v>
      </c>
      <c r="B55" s="18">
        <v>81139</v>
      </c>
      <c r="C55" s="18">
        <v>100</v>
      </c>
      <c r="D55" s="19" t="s">
        <v>177</v>
      </c>
      <c r="E55" s="19" t="s">
        <v>22</v>
      </c>
      <c r="F55" s="18">
        <v>4</v>
      </c>
      <c r="G55" s="19" t="s">
        <v>16</v>
      </c>
      <c r="H55" s="19">
        <v>39.1</v>
      </c>
      <c r="I55" s="19">
        <v>41.57</v>
      </c>
      <c r="J55" s="19" t="s">
        <v>689</v>
      </c>
      <c r="K55" s="20">
        <v>128.54</v>
      </c>
      <c r="M55">
        <f t="shared" si="4"/>
        <v>81139</v>
      </c>
      <c r="N55">
        <f>IF(AND(A55&gt;0,A55&lt;999),IFERROR(VLOOKUP(results0118[[#This Row],[Card]],U14M[],1,FALSE),0),0)</f>
        <v>81139</v>
      </c>
      <c r="O55">
        <f t="shared" si="5"/>
        <v>54</v>
      </c>
      <c r="P55">
        <f t="shared" si="6"/>
        <v>59</v>
      </c>
      <c r="Q55">
        <f t="shared" si="7"/>
        <v>64</v>
      </c>
    </row>
    <row r="56" spans="1:17" x14ac:dyDescent="0.25">
      <c r="A56" s="13">
        <v>55</v>
      </c>
      <c r="B56" s="14">
        <v>85853</v>
      </c>
      <c r="C56" s="14">
        <v>10</v>
      </c>
      <c r="D56" s="15" t="s">
        <v>82</v>
      </c>
      <c r="E56" s="15" t="s">
        <v>15</v>
      </c>
      <c r="F56" s="14">
        <v>5</v>
      </c>
      <c r="G56" s="15" t="s">
        <v>16</v>
      </c>
      <c r="H56" s="15">
        <v>36.04</v>
      </c>
      <c r="I56" s="15">
        <v>44.89</v>
      </c>
      <c r="J56" s="15" t="s">
        <v>690</v>
      </c>
      <c r="K56" s="16">
        <v>131.27000000000001</v>
      </c>
      <c r="M56">
        <f t="shared" si="4"/>
        <v>85853</v>
      </c>
      <c r="N56">
        <f>IF(AND(A56&gt;0,A56&lt;999),IFERROR(VLOOKUP(results0118[[#This Row],[Card]],U14M[],1,FALSE),0),0)</f>
        <v>85853</v>
      </c>
      <c r="O56">
        <f t="shared" si="5"/>
        <v>55</v>
      </c>
      <c r="P56">
        <f t="shared" si="6"/>
        <v>27</v>
      </c>
      <c r="Q56">
        <f t="shared" si="7"/>
        <v>84</v>
      </c>
    </row>
    <row r="57" spans="1:17" x14ac:dyDescent="0.25">
      <c r="A57" s="17">
        <v>56</v>
      </c>
      <c r="B57" s="18">
        <v>80615</v>
      </c>
      <c r="C57" s="18">
        <v>38</v>
      </c>
      <c r="D57" s="19" t="s">
        <v>292</v>
      </c>
      <c r="E57" s="19" t="s">
        <v>19</v>
      </c>
      <c r="F57" s="18">
        <v>4</v>
      </c>
      <c r="G57" s="19" t="s">
        <v>16</v>
      </c>
      <c r="H57" s="19">
        <v>39.14</v>
      </c>
      <c r="I57" s="19">
        <v>41.8</v>
      </c>
      <c r="J57" s="19" t="s">
        <v>691</v>
      </c>
      <c r="K57" s="20">
        <v>131.38</v>
      </c>
      <c r="M57">
        <f t="shared" si="4"/>
        <v>80615</v>
      </c>
      <c r="N57">
        <f>IF(AND(A57&gt;0,A57&lt;999),IFERROR(VLOOKUP(results0118[[#This Row],[Card]],U14M[],1,FALSE),0),0)</f>
        <v>80615</v>
      </c>
      <c r="O57">
        <f t="shared" si="5"/>
        <v>56</v>
      </c>
      <c r="P57">
        <f t="shared" si="6"/>
        <v>61</v>
      </c>
      <c r="Q57">
        <f t="shared" si="7"/>
        <v>65</v>
      </c>
    </row>
    <row r="58" spans="1:17" x14ac:dyDescent="0.25">
      <c r="A58" s="13">
        <v>57</v>
      </c>
      <c r="B58" s="14">
        <v>82403</v>
      </c>
      <c r="C58" s="14">
        <v>65</v>
      </c>
      <c r="D58" s="15" t="s">
        <v>175</v>
      </c>
      <c r="E58" s="15" t="s">
        <v>19</v>
      </c>
      <c r="F58" s="14">
        <v>5</v>
      </c>
      <c r="G58" s="15" t="s">
        <v>16</v>
      </c>
      <c r="H58" s="15">
        <v>38.869999999999997</v>
      </c>
      <c r="I58" s="15">
        <v>42.11</v>
      </c>
      <c r="J58" s="15" t="s">
        <v>692</v>
      </c>
      <c r="K58" s="16">
        <v>131.80000000000001</v>
      </c>
      <c r="M58">
        <f t="shared" si="4"/>
        <v>82403</v>
      </c>
      <c r="N58">
        <f>IF(AND(A58&gt;0,A58&lt;999),IFERROR(VLOOKUP(results0118[[#This Row],[Card]],U14M[],1,FALSE),0),0)</f>
        <v>82403</v>
      </c>
      <c r="O58">
        <f t="shared" si="5"/>
        <v>57</v>
      </c>
      <c r="P58">
        <f t="shared" si="6"/>
        <v>57</v>
      </c>
      <c r="Q58">
        <f t="shared" si="7"/>
        <v>68</v>
      </c>
    </row>
    <row r="59" spans="1:17" x14ac:dyDescent="0.25">
      <c r="A59" s="17">
        <v>58</v>
      </c>
      <c r="B59" s="18">
        <v>81081</v>
      </c>
      <c r="C59" s="18">
        <v>52</v>
      </c>
      <c r="D59" s="19" t="s">
        <v>330</v>
      </c>
      <c r="E59" s="19" t="s">
        <v>31</v>
      </c>
      <c r="F59" s="18">
        <v>5</v>
      </c>
      <c r="G59" s="19" t="s">
        <v>16</v>
      </c>
      <c r="H59" s="19">
        <v>39.270000000000003</v>
      </c>
      <c r="I59" s="19">
        <v>41.88</v>
      </c>
      <c r="J59" s="19" t="s">
        <v>693</v>
      </c>
      <c r="K59" s="20">
        <v>133.59</v>
      </c>
      <c r="M59">
        <f t="shared" si="4"/>
        <v>81081</v>
      </c>
      <c r="N59">
        <f>IF(AND(A59&gt;0,A59&lt;999),IFERROR(VLOOKUP(results0118[[#This Row],[Card]],U14M[],1,FALSE),0),0)</f>
        <v>81081</v>
      </c>
      <c r="O59">
        <f t="shared" si="5"/>
        <v>58</v>
      </c>
      <c r="P59">
        <f t="shared" si="6"/>
        <v>65</v>
      </c>
      <c r="Q59">
        <f t="shared" si="7"/>
        <v>66</v>
      </c>
    </row>
    <row r="60" spans="1:17" x14ac:dyDescent="0.25">
      <c r="A60" s="13">
        <v>59</v>
      </c>
      <c r="B60" s="14">
        <v>80630</v>
      </c>
      <c r="C60" s="14">
        <v>110</v>
      </c>
      <c r="D60" s="15" t="s">
        <v>188</v>
      </c>
      <c r="E60" s="15" t="s">
        <v>19</v>
      </c>
      <c r="F60" s="14">
        <v>4</v>
      </c>
      <c r="G60" s="15" t="s">
        <v>16</v>
      </c>
      <c r="H60" s="15">
        <v>40.409999999999997</v>
      </c>
      <c r="I60" s="15">
        <v>41.04</v>
      </c>
      <c r="J60" s="15" t="s">
        <v>694</v>
      </c>
      <c r="K60" s="16">
        <v>136.74</v>
      </c>
      <c r="M60">
        <f t="shared" si="4"/>
        <v>80630</v>
      </c>
      <c r="N60">
        <f>IF(AND(A60&gt;0,A60&lt;999),IFERROR(VLOOKUP(results0118[[#This Row],[Card]],U14M[],1,FALSE),0),0)</f>
        <v>80630</v>
      </c>
      <c r="O60">
        <f t="shared" si="5"/>
        <v>59</v>
      </c>
      <c r="P60">
        <f t="shared" si="6"/>
        <v>77</v>
      </c>
      <c r="Q60">
        <f t="shared" si="7"/>
        <v>55</v>
      </c>
    </row>
    <row r="61" spans="1:17" x14ac:dyDescent="0.25">
      <c r="A61" s="17">
        <v>60</v>
      </c>
      <c r="B61" s="18">
        <v>80724</v>
      </c>
      <c r="C61" s="18">
        <v>104</v>
      </c>
      <c r="D61" s="19" t="s">
        <v>167</v>
      </c>
      <c r="E61" s="19" t="s">
        <v>22</v>
      </c>
      <c r="F61" s="18">
        <v>4</v>
      </c>
      <c r="G61" s="19" t="s">
        <v>16</v>
      </c>
      <c r="H61" s="19">
        <v>40.19</v>
      </c>
      <c r="I61" s="19">
        <v>41.33</v>
      </c>
      <c r="J61" s="19" t="s">
        <v>695</v>
      </c>
      <c r="K61" s="20">
        <v>137.47999999999999</v>
      </c>
      <c r="M61">
        <f t="shared" si="4"/>
        <v>80724</v>
      </c>
      <c r="N61">
        <f>IF(AND(A61&gt;0,A61&lt;999),IFERROR(VLOOKUP(results0118[[#This Row],[Card]],U14M[],1,FALSE),0),0)</f>
        <v>80724</v>
      </c>
      <c r="O61">
        <f t="shared" si="5"/>
        <v>60</v>
      </c>
      <c r="P61">
        <f t="shared" si="6"/>
        <v>73</v>
      </c>
      <c r="Q61">
        <f t="shared" si="7"/>
        <v>60</v>
      </c>
    </row>
    <row r="62" spans="1:17" x14ac:dyDescent="0.25">
      <c r="A62" s="13">
        <v>61</v>
      </c>
      <c r="B62" s="14">
        <v>80835</v>
      </c>
      <c r="C62" s="14">
        <v>95</v>
      </c>
      <c r="D62" s="15" t="s">
        <v>302</v>
      </c>
      <c r="E62" s="15" t="s">
        <v>54</v>
      </c>
      <c r="F62" s="14">
        <v>5</v>
      </c>
      <c r="G62" s="15" t="s">
        <v>16</v>
      </c>
      <c r="H62" s="15">
        <v>40.32</v>
      </c>
      <c r="I62" s="15">
        <v>41.51</v>
      </c>
      <c r="J62" s="15" t="s">
        <v>696</v>
      </c>
      <c r="K62" s="16">
        <v>140.74</v>
      </c>
      <c r="M62">
        <f t="shared" si="4"/>
        <v>80835</v>
      </c>
      <c r="N62">
        <f>IF(AND(A62&gt;0,A62&lt;999),IFERROR(VLOOKUP(results0118[[#This Row],[Card]],U14M[],1,FALSE),0),0)</f>
        <v>80835</v>
      </c>
      <c r="O62">
        <f t="shared" si="5"/>
        <v>61</v>
      </c>
      <c r="P62">
        <f t="shared" si="6"/>
        <v>75</v>
      </c>
      <c r="Q62">
        <f t="shared" si="7"/>
        <v>62</v>
      </c>
    </row>
    <row r="63" spans="1:17" x14ac:dyDescent="0.25">
      <c r="A63" s="17">
        <v>62</v>
      </c>
      <c r="B63" s="18">
        <v>80692</v>
      </c>
      <c r="C63" s="18">
        <v>69</v>
      </c>
      <c r="D63" s="19" t="s">
        <v>317</v>
      </c>
      <c r="E63" s="19" t="s">
        <v>31</v>
      </c>
      <c r="F63" s="18">
        <v>5</v>
      </c>
      <c r="G63" s="19" t="s">
        <v>16</v>
      </c>
      <c r="H63" s="19">
        <v>39.15</v>
      </c>
      <c r="I63" s="19">
        <v>42.69</v>
      </c>
      <c r="J63" s="19" t="s">
        <v>697</v>
      </c>
      <c r="K63" s="20">
        <v>140.84</v>
      </c>
      <c r="M63">
        <f t="shared" si="4"/>
        <v>80692</v>
      </c>
      <c r="N63">
        <f>IF(AND(A63&gt;0,A63&lt;999),IFERROR(VLOOKUP(results0118[[#This Row],[Card]],U14M[],1,FALSE),0),0)</f>
        <v>80692</v>
      </c>
      <c r="O63">
        <f t="shared" si="5"/>
        <v>62</v>
      </c>
      <c r="P63">
        <f t="shared" si="6"/>
        <v>62</v>
      </c>
      <c r="Q63">
        <f t="shared" si="7"/>
        <v>72</v>
      </c>
    </row>
    <row r="64" spans="1:17" x14ac:dyDescent="0.25">
      <c r="A64" s="13">
        <v>63</v>
      </c>
      <c r="B64" s="14">
        <v>85566</v>
      </c>
      <c r="C64" s="14">
        <v>29</v>
      </c>
      <c r="D64" s="15" t="s">
        <v>150</v>
      </c>
      <c r="E64" s="15" t="s">
        <v>117</v>
      </c>
      <c r="F64" s="14">
        <v>5</v>
      </c>
      <c r="G64" s="15" t="s">
        <v>16</v>
      </c>
      <c r="H64" s="15">
        <v>39.119999999999997</v>
      </c>
      <c r="I64" s="15">
        <v>42.94</v>
      </c>
      <c r="J64" s="15" t="s">
        <v>698</v>
      </c>
      <c r="K64" s="16">
        <v>143.16</v>
      </c>
      <c r="M64">
        <f t="shared" si="4"/>
        <v>85566</v>
      </c>
      <c r="N64">
        <f>IF(AND(A64&gt;0,A64&lt;999),IFERROR(VLOOKUP(results0118[[#This Row],[Card]],U14M[],1,FALSE),0),0)</f>
        <v>85566</v>
      </c>
      <c r="O64">
        <f t="shared" si="5"/>
        <v>63</v>
      </c>
      <c r="P64">
        <f t="shared" si="6"/>
        <v>60</v>
      </c>
      <c r="Q64">
        <f t="shared" si="7"/>
        <v>76</v>
      </c>
    </row>
    <row r="65" spans="1:17" x14ac:dyDescent="0.25">
      <c r="A65" s="17">
        <v>64</v>
      </c>
      <c r="B65" s="18">
        <v>85448</v>
      </c>
      <c r="C65" s="18">
        <v>5</v>
      </c>
      <c r="D65" s="19" t="s">
        <v>224</v>
      </c>
      <c r="E65" s="19" t="s">
        <v>101</v>
      </c>
      <c r="F65" s="18">
        <v>4</v>
      </c>
      <c r="G65" s="19" t="s">
        <v>16</v>
      </c>
      <c r="H65" s="19">
        <v>39.590000000000003</v>
      </c>
      <c r="I65" s="19">
        <v>42.88</v>
      </c>
      <c r="J65" s="19" t="s">
        <v>699</v>
      </c>
      <c r="K65" s="20">
        <v>147.47</v>
      </c>
      <c r="M65">
        <f t="shared" si="4"/>
        <v>85448</v>
      </c>
      <c r="N65">
        <f>IF(AND(A65&gt;0,A65&lt;999),IFERROR(VLOOKUP(results0118[[#This Row],[Card]],U14M[],1,FALSE),0),0)</f>
        <v>85448</v>
      </c>
      <c r="O65">
        <f t="shared" si="5"/>
        <v>64</v>
      </c>
      <c r="P65">
        <f t="shared" si="6"/>
        <v>69</v>
      </c>
      <c r="Q65">
        <f t="shared" si="7"/>
        <v>73</v>
      </c>
    </row>
    <row r="66" spans="1:17" x14ac:dyDescent="0.25">
      <c r="A66" s="13">
        <v>65</v>
      </c>
      <c r="B66" s="14">
        <v>78181</v>
      </c>
      <c r="C66" s="14">
        <v>3</v>
      </c>
      <c r="D66" s="15" t="s">
        <v>138</v>
      </c>
      <c r="E66" s="15" t="s">
        <v>61</v>
      </c>
      <c r="F66" s="14">
        <v>4</v>
      </c>
      <c r="G66" s="15" t="s">
        <v>16</v>
      </c>
      <c r="H66" s="15">
        <v>40.4</v>
      </c>
      <c r="I66" s="15">
        <v>42.41</v>
      </c>
      <c r="J66" s="15" t="s">
        <v>700</v>
      </c>
      <c r="K66" s="16">
        <v>151.05000000000001</v>
      </c>
      <c r="M66">
        <f t="shared" ref="M66:M97" si="8">B66</f>
        <v>78181</v>
      </c>
      <c r="N66">
        <f>IF(AND(A66&gt;0,A66&lt;999),IFERROR(VLOOKUP(results0118[[#This Row],[Card]],U14M[],1,FALSE),0),0)</f>
        <v>78181</v>
      </c>
      <c r="O66">
        <f t="shared" ref="O66:O97" si="9">A66</f>
        <v>65</v>
      </c>
      <c r="P66">
        <f t="shared" ref="P66:P97" si="10">IFERROR(_xlfn.RANK.EQ(H66,$H$2:$H$114,1),999)</f>
        <v>76</v>
      </c>
      <c r="Q66">
        <f t="shared" ref="Q66:Q97" si="11">IFERROR(_xlfn.RANK.EQ(I66,$I$2:$I$114,1),999)</f>
        <v>69</v>
      </c>
    </row>
    <row r="67" spans="1:17" x14ac:dyDescent="0.25">
      <c r="A67" s="17">
        <v>66</v>
      </c>
      <c r="B67" s="18">
        <v>80700</v>
      </c>
      <c r="C67" s="18">
        <v>113</v>
      </c>
      <c r="D67" s="19" t="s">
        <v>192</v>
      </c>
      <c r="E67" s="19" t="s">
        <v>31</v>
      </c>
      <c r="F67" s="18">
        <v>4</v>
      </c>
      <c r="G67" s="19" t="s">
        <v>16</v>
      </c>
      <c r="H67" s="19">
        <v>41.37</v>
      </c>
      <c r="I67" s="19">
        <v>41.53</v>
      </c>
      <c r="J67" s="19" t="s">
        <v>701</v>
      </c>
      <c r="K67" s="20">
        <v>151.99</v>
      </c>
      <c r="M67">
        <f t="shared" si="8"/>
        <v>80700</v>
      </c>
      <c r="N67">
        <f>IF(AND(A67&gt;0,A67&lt;999),IFERROR(VLOOKUP(results0118[[#This Row],[Card]],U14M[],1,FALSE),0),0)</f>
        <v>80700</v>
      </c>
      <c r="O67">
        <f t="shared" si="9"/>
        <v>66</v>
      </c>
      <c r="P67">
        <f t="shared" si="10"/>
        <v>84</v>
      </c>
      <c r="Q67">
        <f t="shared" si="11"/>
        <v>63</v>
      </c>
    </row>
    <row r="68" spans="1:17" x14ac:dyDescent="0.25">
      <c r="A68" s="13">
        <v>67</v>
      </c>
      <c r="B68" s="14">
        <v>89505</v>
      </c>
      <c r="C68" s="14">
        <v>86</v>
      </c>
      <c r="D68" s="15" t="s">
        <v>387</v>
      </c>
      <c r="E68" s="15" t="s">
        <v>388</v>
      </c>
      <c r="F68" s="14">
        <v>5</v>
      </c>
      <c r="G68" s="15" t="s">
        <v>16</v>
      </c>
      <c r="H68" s="15">
        <v>40.03</v>
      </c>
      <c r="I68" s="15">
        <v>42.91</v>
      </c>
      <c r="J68" s="15" t="s">
        <v>415</v>
      </c>
      <c r="K68" s="16">
        <v>152.41</v>
      </c>
      <c r="M68">
        <f t="shared" si="8"/>
        <v>89505</v>
      </c>
      <c r="N68">
        <f>IF(AND(A68&gt;0,A68&lt;999),IFERROR(VLOOKUP(results0118[[#This Row],[Card]],U14M[],1,FALSE),0),0)</f>
        <v>89505</v>
      </c>
      <c r="O68">
        <f t="shared" si="9"/>
        <v>67</v>
      </c>
      <c r="P68">
        <f t="shared" si="10"/>
        <v>72</v>
      </c>
      <c r="Q68">
        <f t="shared" si="11"/>
        <v>75</v>
      </c>
    </row>
    <row r="69" spans="1:17" x14ac:dyDescent="0.25">
      <c r="A69" s="17">
        <v>67</v>
      </c>
      <c r="B69" s="18">
        <v>76510</v>
      </c>
      <c r="C69" s="18">
        <v>70</v>
      </c>
      <c r="D69" s="19" t="s">
        <v>186</v>
      </c>
      <c r="E69" s="19" t="s">
        <v>38</v>
      </c>
      <c r="F69" s="18">
        <v>4</v>
      </c>
      <c r="G69" s="19" t="s">
        <v>16</v>
      </c>
      <c r="H69" s="19">
        <v>40.43</v>
      </c>
      <c r="I69" s="19">
        <v>42.51</v>
      </c>
      <c r="J69" s="19" t="s">
        <v>415</v>
      </c>
      <c r="K69" s="20">
        <v>152.41</v>
      </c>
      <c r="M69">
        <f t="shared" si="8"/>
        <v>76510</v>
      </c>
      <c r="N69">
        <f>IF(AND(A69&gt;0,A69&lt;999),IFERROR(VLOOKUP(results0118[[#This Row],[Card]],U14M[],1,FALSE),0),0)</f>
        <v>76510</v>
      </c>
      <c r="O69">
        <f t="shared" si="9"/>
        <v>67</v>
      </c>
      <c r="P69">
        <f t="shared" si="10"/>
        <v>78</v>
      </c>
      <c r="Q69">
        <f t="shared" si="11"/>
        <v>70</v>
      </c>
    </row>
    <row r="70" spans="1:17" x14ac:dyDescent="0.25">
      <c r="A70" s="13">
        <v>69</v>
      </c>
      <c r="B70" s="14">
        <v>80830</v>
      </c>
      <c r="C70" s="14">
        <v>4</v>
      </c>
      <c r="D70" s="15" t="s">
        <v>217</v>
      </c>
      <c r="E70" s="15" t="s">
        <v>54</v>
      </c>
      <c r="F70" s="14">
        <v>5</v>
      </c>
      <c r="G70" s="15" t="s">
        <v>16</v>
      </c>
      <c r="H70" s="15">
        <v>39.159999999999997</v>
      </c>
      <c r="I70" s="15">
        <v>44.13</v>
      </c>
      <c r="J70" s="15" t="s">
        <v>702</v>
      </c>
      <c r="K70" s="16">
        <v>156.1</v>
      </c>
      <c r="M70">
        <f t="shared" si="8"/>
        <v>80830</v>
      </c>
      <c r="N70">
        <f>IF(AND(A70&gt;0,A70&lt;999),IFERROR(VLOOKUP(results0118[[#This Row],[Card]],U14M[],1,FALSE),0),0)</f>
        <v>80830</v>
      </c>
      <c r="O70">
        <f t="shared" si="9"/>
        <v>69</v>
      </c>
      <c r="P70">
        <f t="shared" si="10"/>
        <v>63</v>
      </c>
      <c r="Q70">
        <f t="shared" si="11"/>
        <v>79</v>
      </c>
    </row>
    <row r="71" spans="1:17" x14ac:dyDescent="0.25">
      <c r="A71" s="17">
        <v>70</v>
      </c>
      <c r="B71" s="18">
        <v>88391</v>
      </c>
      <c r="C71" s="18">
        <v>66</v>
      </c>
      <c r="D71" s="19" t="s">
        <v>284</v>
      </c>
      <c r="E71" s="19" t="s">
        <v>155</v>
      </c>
      <c r="F71" s="18">
        <v>5</v>
      </c>
      <c r="G71" s="19" t="s">
        <v>16</v>
      </c>
      <c r="H71" s="19">
        <v>40.79</v>
      </c>
      <c r="I71" s="19">
        <v>42.88</v>
      </c>
      <c r="J71" s="19" t="s">
        <v>703</v>
      </c>
      <c r="K71" s="20">
        <v>160.09</v>
      </c>
      <c r="M71">
        <f t="shared" si="8"/>
        <v>88391</v>
      </c>
      <c r="N71">
        <f>IF(AND(A71&gt;0,A71&lt;999),IFERROR(VLOOKUP(results0118[[#This Row],[Card]],U14M[],1,FALSE),0),0)</f>
        <v>88391</v>
      </c>
      <c r="O71">
        <f t="shared" si="9"/>
        <v>70</v>
      </c>
      <c r="P71">
        <f t="shared" si="10"/>
        <v>80</v>
      </c>
      <c r="Q71">
        <f t="shared" si="11"/>
        <v>73</v>
      </c>
    </row>
    <row r="72" spans="1:17" x14ac:dyDescent="0.25">
      <c r="A72" s="13">
        <v>71</v>
      </c>
      <c r="B72" s="14">
        <v>79148</v>
      </c>
      <c r="C72" s="14">
        <v>112</v>
      </c>
      <c r="D72" s="15" t="s">
        <v>191</v>
      </c>
      <c r="E72" s="15" t="s">
        <v>31</v>
      </c>
      <c r="F72" s="14">
        <v>4</v>
      </c>
      <c r="G72" s="15" t="s">
        <v>16</v>
      </c>
      <c r="H72" s="15">
        <v>41.96</v>
      </c>
      <c r="I72" s="15">
        <v>41.88</v>
      </c>
      <c r="J72" s="15" t="s">
        <v>704</v>
      </c>
      <c r="K72" s="16">
        <v>161.88</v>
      </c>
      <c r="M72">
        <f t="shared" si="8"/>
        <v>79148</v>
      </c>
      <c r="N72">
        <f>IF(AND(A72&gt;0,A72&lt;999),IFERROR(VLOOKUP(results0118[[#This Row],[Card]],U14M[],1,FALSE),0),0)</f>
        <v>79148</v>
      </c>
      <c r="O72">
        <f t="shared" si="9"/>
        <v>71</v>
      </c>
      <c r="P72">
        <f t="shared" si="10"/>
        <v>88</v>
      </c>
      <c r="Q72">
        <f t="shared" si="11"/>
        <v>66</v>
      </c>
    </row>
    <row r="73" spans="1:17" x14ac:dyDescent="0.25">
      <c r="A73" s="17">
        <v>72</v>
      </c>
      <c r="B73" s="18">
        <v>87999</v>
      </c>
      <c r="C73" s="18">
        <v>53</v>
      </c>
      <c r="D73" s="19" t="s">
        <v>179</v>
      </c>
      <c r="E73" s="19" t="s">
        <v>19</v>
      </c>
      <c r="F73" s="18">
        <v>5</v>
      </c>
      <c r="G73" s="19" t="s">
        <v>16</v>
      </c>
      <c r="H73" s="19">
        <v>40.950000000000003</v>
      </c>
      <c r="I73" s="19">
        <v>43.63</v>
      </c>
      <c r="J73" s="19" t="s">
        <v>705</v>
      </c>
      <c r="K73" s="20">
        <v>169.67</v>
      </c>
      <c r="M73">
        <f t="shared" si="8"/>
        <v>87999</v>
      </c>
      <c r="N73">
        <f>IF(AND(A73&gt;0,A73&lt;999),IFERROR(VLOOKUP(results0118[[#This Row],[Card]],U14M[],1,FALSE),0),0)</f>
        <v>87999</v>
      </c>
      <c r="O73">
        <f t="shared" si="9"/>
        <v>72</v>
      </c>
      <c r="P73">
        <f t="shared" si="10"/>
        <v>81</v>
      </c>
      <c r="Q73">
        <f t="shared" si="11"/>
        <v>77</v>
      </c>
    </row>
    <row r="74" spans="1:17" x14ac:dyDescent="0.25">
      <c r="A74" s="13">
        <v>73</v>
      </c>
      <c r="B74" s="14">
        <v>78783</v>
      </c>
      <c r="C74" s="14">
        <v>17</v>
      </c>
      <c r="D74" s="15" t="s">
        <v>198</v>
      </c>
      <c r="E74" s="15" t="s">
        <v>47</v>
      </c>
      <c r="F74" s="14">
        <v>5</v>
      </c>
      <c r="G74" s="15" t="s">
        <v>16</v>
      </c>
      <c r="H74" s="15">
        <v>41.23</v>
      </c>
      <c r="I74" s="15">
        <v>44.21</v>
      </c>
      <c r="J74" s="15" t="s">
        <v>706</v>
      </c>
      <c r="K74" s="16">
        <v>178.71</v>
      </c>
      <c r="M74">
        <f t="shared" si="8"/>
        <v>78783</v>
      </c>
      <c r="N74">
        <f>IF(AND(A74&gt;0,A74&lt;999),IFERROR(VLOOKUP(results0118[[#This Row],[Card]],U14M[],1,FALSE),0),0)</f>
        <v>78783</v>
      </c>
      <c r="O74">
        <f t="shared" si="9"/>
        <v>73</v>
      </c>
      <c r="P74">
        <f t="shared" si="10"/>
        <v>82</v>
      </c>
      <c r="Q74">
        <f t="shared" si="11"/>
        <v>80</v>
      </c>
    </row>
    <row r="75" spans="1:17" x14ac:dyDescent="0.25">
      <c r="A75" s="17">
        <v>74</v>
      </c>
      <c r="B75" s="18">
        <v>81736</v>
      </c>
      <c r="C75" s="18">
        <v>21</v>
      </c>
      <c r="D75" s="19" t="s">
        <v>184</v>
      </c>
      <c r="E75" s="19" t="s">
        <v>31</v>
      </c>
      <c r="F75" s="18">
        <v>4</v>
      </c>
      <c r="G75" s="19" t="s">
        <v>16</v>
      </c>
      <c r="H75" s="19">
        <v>41.69</v>
      </c>
      <c r="I75" s="19">
        <v>44.37</v>
      </c>
      <c r="J75" s="19" t="s">
        <v>707</v>
      </c>
      <c r="K75" s="20">
        <v>185.23</v>
      </c>
      <c r="M75">
        <f t="shared" si="8"/>
        <v>81736</v>
      </c>
      <c r="N75">
        <f>IF(AND(A75&gt;0,A75&lt;999),IFERROR(VLOOKUP(results0118[[#This Row],[Card]],U14M[],1,FALSE),0),0)</f>
        <v>81736</v>
      </c>
      <c r="O75">
        <f t="shared" si="9"/>
        <v>74</v>
      </c>
      <c r="P75">
        <f t="shared" si="10"/>
        <v>85</v>
      </c>
      <c r="Q75">
        <f t="shared" si="11"/>
        <v>81</v>
      </c>
    </row>
    <row r="76" spans="1:17" x14ac:dyDescent="0.25">
      <c r="A76" s="13">
        <v>75</v>
      </c>
      <c r="B76" s="14">
        <v>78504</v>
      </c>
      <c r="C76" s="14">
        <v>67</v>
      </c>
      <c r="D76" s="15" t="s">
        <v>210</v>
      </c>
      <c r="E76" s="15" t="s">
        <v>19</v>
      </c>
      <c r="F76" s="14">
        <v>5</v>
      </c>
      <c r="G76" s="15" t="s">
        <v>16</v>
      </c>
      <c r="H76" s="15">
        <v>41.34</v>
      </c>
      <c r="I76" s="15">
        <v>44.82</v>
      </c>
      <c r="J76" s="15" t="s">
        <v>708</v>
      </c>
      <c r="K76" s="16">
        <v>186.28</v>
      </c>
      <c r="M76">
        <f t="shared" si="8"/>
        <v>78504</v>
      </c>
      <c r="N76">
        <f>IF(AND(A76&gt;0,A76&lt;999),IFERROR(VLOOKUP(results0118[[#This Row],[Card]],U14M[],1,FALSE),0),0)</f>
        <v>78504</v>
      </c>
      <c r="O76">
        <f t="shared" si="9"/>
        <v>75</v>
      </c>
      <c r="P76">
        <f t="shared" si="10"/>
        <v>83</v>
      </c>
      <c r="Q76">
        <f t="shared" si="11"/>
        <v>83</v>
      </c>
    </row>
    <row r="77" spans="1:17" x14ac:dyDescent="0.25">
      <c r="A77" s="17">
        <v>76</v>
      </c>
      <c r="B77" s="18">
        <v>81781</v>
      </c>
      <c r="C77" s="18">
        <v>32</v>
      </c>
      <c r="D77" s="19" t="s">
        <v>200</v>
      </c>
      <c r="E77" s="19" t="s">
        <v>38</v>
      </c>
      <c r="F77" s="18">
        <v>5</v>
      </c>
      <c r="G77" s="19" t="s">
        <v>16</v>
      </c>
      <c r="H77" s="19">
        <v>42.48</v>
      </c>
      <c r="I77" s="19">
        <v>43.99</v>
      </c>
      <c r="J77" s="19" t="s">
        <v>709</v>
      </c>
      <c r="K77" s="20">
        <v>189.55</v>
      </c>
      <c r="M77">
        <f t="shared" si="8"/>
        <v>81781</v>
      </c>
      <c r="N77">
        <f>IF(AND(A77&gt;0,A77&lt;999),IFERROR(VLOOKUP(results0118[[#This Row],[Card]],U14M[],1,FALSE),0),0)</f>
        <v>81781</v>
      </c>
      <c r="O77">
        <f t="shared" si="9"/>
        <v>76</v>
      </c>
      <c r="P77">
        <f t="shared" si="10"/>
        <v>89</v>
      </c>
      <c r="Q77">
        <f t="shared" si="11"/>
        <v>78</v>
      </c>
    </row>
    <row r="78" spans="1:17" x14ac:dyDescent="0.25">
      <c r="A78" s="13">
        <v>77</v>
      </c>
      <c r="B78" s="14">
        <v>84692</v>
      </c>
      <c r="C78" s="14">
        <v>71</v>
      </c>
      <c r="D78" s="15" t="s">
        <v>173</v>
      </c>
      <c r="E78" s="15" t="s">
        <v>22</v>
      </c>
      <c r="F78" s="14">
        <v>4</v>
      </c>
      <c r="G78" s="15" t="s">
        <v>16</v>
      </c>
      <c r="H78" s="15">
        <v>42.73</v>
      </c>
      <c r="I78" s="15">
        <v>44.69</v>
      </c>
      <c r="J78" s="15" t="s">
        <v>710</v>
      </c>
      <c r="K78" s="16">
        <v>199.54</v>
      </c>
      <c r="M78">
        <f t="shared" si="8"/>
        <v>84692</v>
      </c>
      <c r="N78">
        <f>IF(AND(A78&gt;0,A78&lt;999),IFERROR(VLOOKUP(results0118[[#This Row],[Card]],U14M[],1,FALSE),0),0)</f>
        <v>84692</v>
      </c>
      <c r="O78">
        <f t="shared" si="9"/>
        <v>77</v>
      </c>
      <c r="P78">
        <f t="shared" si="10"/>
        <v>91</v>
      </c>
      <c r="Q78">
        <f t="shared" si="11"/>
        <v>82</v>
      </c>
    </row>
    <row r="79" spans="1:17" x14ac:dyDescent="0.25">
      <c r="A79" s="17">
        <v>78</v>
      </c>
      <c r="B79" s="18">
        <v>86207</v>
      </c>
      <c r="C79" s="18">
        <v>9</v>
      </c>
      <c r="D79" s="19" t="s">
        <v>294</v>
      </c>
      <c r="E79" s="19" t="s">
        <v>54</v>
      </c>
      <c r="F79" s="18">
        <v>5</v>
      </c>
      <c r="G79" s="19" t="s">
        <v>16</v>
      </c>
      <c r="H79" s="19">
        <v>40.200000000000003</v>
      </c>
      <c r="I79" s="19">
        <v>47.32</v>
      </c>
      <c r="J79" s="19" t="s">
        <v>711</v>
      </c>
      <c r="K79" s="20">
        <v>200.59</v>
      </c>
      <c r="M79">
        <f t="shared" si="8"/>
        <v>86207</v>
      </c>
      <c r="N79">
        <f>IF(AND(A79&gt;0,A79&lt;999),IFERROR(VLOOKUP(results0118[[#This Row],[Card]],U14M[],1,FALSE),0),0)</f>
        <v>86207</v>
      </c>
      <c r="O79">
        <f t="shared" si="9"/>
        <v>78</v>
      </c>
      <c r="P79">
        <f t="shared" si="10"/>
        <v>74</v>
      </c>
      <c r="Q79">
        <f t="shared" si="11"/>
        <v>91</v>
      </c>
    </row>
    <row r="80" spans="1:17" x14ac:dyDescent="0.25">
      <c r="A80" s="13">
        <v>79</v>
      </c>
      <c r="B80" s="14">
        <v>88381</v>
      </c>
      <c r="C80" s="14">
        <v>56</v>
      </c>
      <c r="D80" s="15" t="s">
        <v>181</v>
      </c>
      <c r="E80" s="15" t="s">
        <v>47</v>
      </c>
      <c r="F80" s="14">
        <v>5</v>
      </c>
      <c r="G80" s="15" t="s">
        <v>16</v>
      </c>
      <c r="H80" s="15">
        <v>42.48</v>
      </c>
      <c r="I80" s="15">
        <v>45.32</v>
      </c>
      <c r="J80" s="15" t="s">
        <v>712</v>
      </c>
      <c r="K80" s="16">
        <v>203.54</v>
      </c>
      <c r="M80">
        <f t="shared" si="8"/>
        <v>88381</v>
      </c>
      <c r="N80">
        <f>IF(AND(A80&gt;0,A80&lt;999),IFERROR(VLOOKUP(results0118[[#This Row],[Card]],U14M[],1,FALSE),0),0)</f>
        <v>88381</v>
      </c>
      <c r="O80">
        <f t="shared" si="9"/>
        <v>79</v>
      </c>
      <c r="P80">
        <f t="shared" si="10"/>
        <v>89</v>
      </c>
      <c r="Q80">
        <f t="shared" si="11"/>
        <v>86</v>
      </c>
    </row>
    <row r="81" spans="1:17" x14ac:dyDescent="0.25">
      <c r="A81" s="17">
        <v>80</v>
      </c>
      <c r="B81" s="18">
        <v>84868</v>
      </c>
      <c r="C81" s="18">
        <v>41</v>
      </c>
      <c r="D81" s="19" t="s">
        <v>312</v>
      </c>
      <c r="E81" s="19" t="s">
        <v>54</v>
      </c>
      <c r="F81" s="18">
        <v>5</v>
      </c>
      <c r="G81" s="19" t="s">
        <v>16</v>
      </c>
      <c r="H81" s="19">
        <v>42.96</v>
      </c>
      <c r="I81" s="19">
        <v>44.98</v>
      </c>
      <c r="J81" s="19" t="s">
        <v>713</v>
      </c>
      <c r="K81" s="20">
        <v>205.01</v>
      </c>
      <c r="M81">
        <f t="shared" si="8"/>
        <v>84868</v>
      </c>
      <c r="N81">
        <f>IF(AND(A81&gt;0,A81&lt;999),IFERROR(VLOOKUP(results0118[[#This Row],[Card]],U14M[],1,FALSE),0),0)</f>
        <v>84868</v>
      </c>
      <c r="O81">
        <f t="shared" si="9"/>
        <v>80</v>
      </c>
      <c r="P81">
        <f t="shared" si="10"/>
        <v>92</v>
      </c>
      <c r="Q81">
        <f t="shared" si="11"/>
        <v>85</v>
      </c>
    </row>
    <row r="82" spans="1:17" x14ac:dyDescent="0.25">
      <c r="A82" s="13">
        <v>81</v>
      </c>
      <c r="B82" s="14">
        <v>82442</v>
      </c>
      <c r="C82" s="14">
        <v>45</v>
      </c>
      <c r="D82" s="15" t="s">
        <v>204</v>
      </c>
      <c r="E82" s="15" t="s">
        <v>42</v>
      </c>
      <c r="F82" s="14">
        <v>5</v>
      </c>
      <c r="G82" s="15" t="s">
        <v>16</v>
      </c>
      <c r="H82" s="15">
        <v>43</v>
      </c>
      <c r="I82" s="15">
        <v>45.55</v>
      </c>
      <c r="J82" s="15" t="s">
        <v>714</v>
      </c>
      <c r="K82" s="16">
        <v>211.42</v>
      </c>
      <c r="M82">
        <f t="shared" si="8"/>
        <v>82442</v>
      </c>
      <c r="N82">
        <f>IF(AND(A82&gt;0,A82&lt;999),IFERROR(VLOOKUP(results0118[[#This Row],[Card]],U14M[],1,FALSE),0),0)</f>
        <v>82442</v>
      </c>
      <c r="O82">
        <f t="shared" si="9"/>
        <v>81</v>
      </c>
      <c r="P82">
        <f t="shared" si="10"/>
        <v>94</v>
      </c>
      <c r="Q82">
        <f t="shared" si="11"/>
        <v>87</v>
      </c>
    </row>
    <row r="83" spans="1:17" x14ac:dyDescent="0.25">
      <c r="A83" s="17">
        <v>82</v>
      </c>
      <c r="B83" s="18">
        <v>81505</v>
      </c>
      <c r="C83" s="18">
        <v>2</v>
      </c>
      <c r="D83" s="19" t="s">
        <v>315</v>
      </c>
      <c r="E83" s="19" t="s">
        <v>22</v>
      </c>
      <c r="F83" s="18">
        <v>5</v>
      </c>
      <c r="G83" s="19" t="s">
        <v>16</v>
      </c>
      <c r="H83" s="19">
        <v>41.71</v>
      </c>
      <c r="I83" s="19">
        <v>47.02</v>
      </c>
      <c r="J83" s="19" t="s">
        <v>715</v>
      </c>
      <c r="K83" s="20">
        <v>213.32</v>
      </c>
      <c r="M83">
        <f t="shared" si="8"/>
        <v>81505</v>
      </c>
      <c r="N83">
        <f>IF(AND(A83&gt;0,A83&lt;999),IFERROR(VLOOKUP(results0118[[#This Row],[Card]],U14M[],1,FALSE),0),0)</f>
        <v>81505</v>
      </c>
      <c r="O83">
        <f t="shared" si="9"/>
        <v>82</v>
      </c>
      <c r="P83">
        <f t="shared" si="10"/>
        <v>86</v>
      </c>
      <c r="Q83">
        <f t="shared" si="11"/>
        <v>89</v>
      </c>
    </row>
    <row r="84" spans="1:17" x14ac:dyDescent="0.25">
      <c r="A84" s="13">
        <v>83</v>
      </c>
      <c r="B84" s="14">
        <v>81801</v>
      </c>
      <c r="C84" s="14">
        <v>27</v>
      </c>
      <c r="D84" s="15" t="s">
        <v>208</v>
      </c>
      <c r="E84" s="15" t="s">
        <v>61</v>
      </c>
      <c r="F84" s="14">
        <v>5</v>
      </c>
      <c r="G84" s="15" t="s">
        <v>16</v>
      </c>
      <c r="H84" s="15">
        <v>41.93</v>
      </c>
      <c r="I84" s="15">
        <v>47.06</v>
      </c>
      <c r="J84" s="15" t="s">
        <v>716</v>
      </c>
      <c r="K84" s="16">
        <v>216.05</v>
      </c>
      <c r="M84">
        <f t="shared" si="8"/>
        <v>81801</v>
      </c>
      <c r="N84">
        <f>IF(AND(A84&gt;0,A84&lt;999),IFERROR(VLOOKUP(results0118[[#This Row],[Card]],U14M[],1,FALSE),0),0)</f>
        <v>81801</v>
      </c>
      <c r="O84">
        <f t="shared" si="9"/>
        <v>83</v>
      </c>
      <c r="P84">
        <f t="shared" si="10"/>
        <v>87</v>
      </c>
      <c r="Q84">
        <f t="shared" si="11"/>
        <v>90</v>
      </c>
    </row>
    <row r="85" spans="1:17" x14ac:dyDescent="0.25">
      <c r="A85" s="17">
        <v>84</v>
      </c>
      <c r="B85" s="18">
        <v>80629</v>
      </c>
      <c r="C85" s="18">
        <v>13</v>
      </c>
      <c r="D85" s="19" t="s">
        <v>144</v>
      </c>
      <c r="E85" s="19" t="s">
        <v>19</v>
      </c>
      <c r="F85" s="18">
        <v>5</v>
      </c>
      <c r="G85" s="19" t="s">
        <v>16</v>
      </c>
      <c r="H85" s="19">
        <v>36.340000000000003</v>
      </c>
      <c r="I85" s="19">
        <v>53.86</v>
      </c>
      <c r="J85" s="19" t="s">
        <v>247</v>
      </c>
      <c r="K85" s="20">
        <v>228.78</v>
      </c>
      <c r="M85">
        <f t="shared" si="8"/>
        <v>80629</v>
      </c>
      <c r="N85">
        <f>IF(AND(A85&gt;0,A85&lt;999),IFERROR(VLOOKUP(results0118[[#This Row],[Card]],U14M[],1,FALSE),0),0)</f>
        <v>80629</v>
      </c>
      <c r="O85">
        <f t="shared" si="9"/>
        <v>84</v>
      </c>
      <c r="P85">
        <f t="shared" si="10"/>
        <v>30</v>
      </c>
      <c r="Q85">
        <f t="shared" si="11"/>
        <v>94</v>
      </c>
    </row>
    <row r="86" spans="1:17" x14ac:dyDescent="0.25">
      <c r="A86" s="13">
        <v>85</v>
      </c>
      <c r="B86" s="14">
        <v>78414</v>
      </c>
      <c r="C86" s="14">
        <v>82</v>
      </c>
      <c r="D86" s="15" t="s">
        <v>202</v>
      </c>
      <c r="E86" s="15" t="s">
        <v>155</v>
      </c>
      <c r="F86" s="14">
        <v>4</v>
      </c>
      <c r="G86" s="15" t="s">
        <v>16</v>
      </c>
      <c r="H86" s="15">
        <v>45.63</v>
      </c>
      <c r="I86" s="15">
        <v>46.3</v>
      </c>
      <c r="J86" s="15" t="s">
        <v>717</v>
      </c>
      <c r="K86" s="16">
        <v>246.98</v>
      </c>
      <c r="M86">
        <f t="shared" si="8"/>
        <v>78414</v>
      </c>
      <c r="N86">
        <f>IF(AND(A86&gt;0,A86&lt;999),IFERROR(VLOOKUP(results0118[[#This Row],[Card]],U14M[],1,FALSE),0),0)</f>
        <v>78414</v>
      </c>
      <c r="O86">
        <f t="shared" si="9"/>
        <v>85</v>
      </c>
      <c r="P86">
        <f t="shared" si="10"/>
        <v>96</v>
      </c>
      <c r="Q86">
        <f t="shared" si="11"/>
        <v>88</v>
      </c>
    </row>
    <row r="87" spans="1:17" x14ac:dyDescent="0.25">
      <c r="A87" s="17">
        <v>86</v>
      </c>
      <c r="B87" s="18">
        <v>80807</v>
      </c>
      <c r="C87" s="18">
        <v>97</v>
      </c>
      <c r="D87" s="19" t="s">
        <v>298</v>
      </c>
      <c r="E87" s="19" t="s">
        <v>54</v>
      </c>
      <c r="F87" s="18">
        <v>5</v>
      </c>
      <c r="G87" s="19" t="s">
        <v>16</v>
      </c>
      <c r="H87" s="19">
        <v>45.05</v>
      </c>
      <c r="I87" s="19">
        <v>47.45</v>
      </c>
      <c r="J87" s="19" t="s">
        <v>458</v>
      </c>
      <c r="K87" s="20">
        <v>252.97</v>
      </c>
      <c r="M87">
        <f t="shared" si="8"/>
        <v>80807</v>
      </c>
      <c r="N87">
        <f>IF(AND(A87&gt;0,A87&lt;999),IFERROR(VLOOKUP(results0118[[#This Row],[Card]],U14M[],1,FALSE),0),0)</f>
        <v>80807</v>
      </c>
      <c r="O87">
        <f t="shared" si="9"/>
        <v>86</v>
      </c>
      <c r="P87">
        <f t="shared" si="10"/>
        <v>95</v>
      </c>
      <c r="Q87">
        <f t="shared" si="11"/>
        <v>92</v>
      </c>
    </row>
    <row r="88" spans="1:17" x14ac:dyDescent="0.25">
      <c r="A88" s="13">
        <v>87</v>
      </c>
      <c r="B88" s="14">
        <v>81880</v>
      </c>
      <c r="C88" s="14">
        <v>72</v>
      </c>
      <c r="D88" s="15" t="s">
        <v>212</v>
      </c>
      <c r="E88" s="15" t="s">
        <v>61</v>
      </c>
      <c r="F88" s="14">
        <v>5</v>
      </c>
      <c r="G88" s="15" t="s">
        <v>16</v>
      </c>
      <c r="H88" s="15">
        <v>46.1</v>
      </c>
      <c r="I88" s="15">
        <v>49.47</v>
      </c>
      <c r="J88" s="15" t="s">
        <v>718</v>
      </c>
      <c r="K88" s="16">
        <v>285.27</v>
      </c>
      <c r="M88">
        <f t="shared" si="8"/>
        <v>81880</v>
      </c>
      <c r="N88">
        <f>IF(AND(A88&gt;0,A88&lt;999),IFERROR(VLOOKUP(results0118[[#This Row],[Card]],U14M[],1,FALSE),0),0)</f>
        <v>81880</v>
      </c>
      <c r="O88">
        <f t="shared" si="9"/>
        <v>87</v>
      </c>
      <c r="P88">
        <f t="shared" si="10"/>
        <v>97</v>
      </c>
      <c r="Q88">
        <f t="shared" si="11"/>
        <v>93</v>
      </c>
    </row>
    <row r="89" spans="1:17" x14ac:dyDescent="0.25">
      <c r="A89" s="17">
        <v>999</v>
      </c>
      <c r="B89" s="18">
        <v>82405</v>
      </c>
      <c r="C89" s="18">
        <v>19</v>
      </c>
      <c r="D89" s="19" t="s">
        <v>223</v>
      </c>
      <c r="E89" s="19" t="s">
        <v>101</v>
      </c>
      <c r="F89" s="18">
        <v>4</v>
      </c>
      <c r="G89" s="19" t="s">
        <v>16</v>
      </c>
      <c r="H89" s="19" t="s">
        <v>215</v>
      </c>
      <c r="I89" s="19" t="s">
        <v>215</v>
      </c>
      <c r="J89" s="19"/>
      <c r="K89" s="20">
        <v>0</v>
      </c>
      <c r="M89">
        <f t="shared" si="8"/>
        <v>82405</v>
      </c>
      <c r="N89">
        <f>IF(AND(A89&gt;0,A89&lt;999),IFERROR(VLOOKUP(results0118[[#This Row],[Card]],U14M[],1,FALSE),0),0)</f>
        <v>0</v>
      </c>
      <c r="O89">
        <f t="shared" si="9"/>
        <v>999</v>
      </c>
      <c r="P89">
        <f t="shared" si="10"/>
        <v>999</v>
      </c>
      <c r="Q89">
        <f t="shared" si="11"/>
        <v>999</v>
      </c>
    </row>
    <row r="90" spans="1:17" x14ac:dyDescent="0.25">
      <c r="A90" s="13">
        <v>999</v>
      </c>
      <c r="B90" s="14">
        <v>85454</v>
      </c>
      <c r="C90" s="14">
        <v>40</v>
      </c>
      <c r="D90" s="15" t="s">
        <v>218</v>
      </c>
      <c r="E90" s="15" t="s">
        <v>54</v>
      </c>
      <c r="F90" s="14">
        <v>5</v>
      </c>
      <c r="G90" s="15" t="s">
        <v>16</v>
      </c>
      <c r="H90" s="15" t="s">
        <v>215</v>
      </c>
      <c r="I90" s="15" t="s">
        <v>215</v>
      </c>
      <c r="J90" s="15"/>
      <c r="K90" s="16">
        <v>0</v>
      </c>
      <c r="M90">
        <f t="shared" si="8"/>
        <v>85454</v>
      </c>
      <c r="N90">
        <f>IF(AND(A90&gt;0,A90&lt;999),IFERROR(VLOOKUP(results0118[[#This Row],[Card]],U14M[],1,FALSE),0),0)</f>
        <v>0</v>
      </c>
      <c r="O90">
        <f t="shared" si="9"/>
        <v>999</v>
      </c>
      <c r="P90">
        <f t="shared" si="10"/>
        <v>999</v>
      </c>
      <c r="Q90">
        <f t="shared" si="11"/>
        <v>999</v>
      </c>
    </row>
    <row r="91" spans="1:17" x14ac:dyDescent="0.25">
      <c r="A91" s="17">
        <v>999</v>
      </c>
      <c r="B91" s="18">
        <v>82314</v>
      </c>
      <c r="C91" s="18">
        <v>46</v>
      </c>
      <c r="D91" s="19" t="s">
        <v>78</v>
      </c>
      <c r="E91" s="19" t="s">
        <v>15</v>
      </c>
      <c r="F91" s="18">
        <v>4</v>
      </c>
      <c r="G91" s="19" t="s">
        <v>16</v>
      </c>
      <c r="H91" s="19" t="s">
        <v>215</v>
      </c>
      <c r="I91" s="19" t="s">
        <v>215</v>
      </c>
      <c r="J91" s="19"/>
      <c r="K91" s="20">
        <v>0</v>
      </c>
      <c r="M91">
        <f t="shared" si="8"/>
        <v>82314</v>
      </c>
      <c r="N91">
        <f>IF(AND(A91&gt;0,A91&lt;999),IFERROR(VLOOKUP(results0118[[#This Row],[Card]],U14M[],1,FALSE),0),0)</f>
        <v>0</v>
      </c>
      <c r="O91">
        <f t="shared" si="9"/>
        <v>999</v>
      </c>
      <c r="P91">
        <f t="shared" si="10"/>
        <v>999</v>
      </c>
      <c r="Q91">
        <f t="shared" si="11"/>
        <v>999</v>
      </c>
    </row>
    <row r="92" spans="1:17" x14ac:dyDescent="0.25">
      <c r="A92" s="13">
        <v>999</v>
      </c>
      <c r="B92" s="14">
        <v>80628</v>
      </c>
      <c r="C92" s="14">
        <v>75</v>
      </c>
      <c r="D92" s="15" t="s">
        <v>58</v>
      </c>
      <c r="E92" s="15" t="s">
        <v>19</v>
      </c>
      <c r="F92" s="14">
        <v>4</v>
      </c>
      <c r="G92" s="15" t="s">
        <v>16</v>
      </c>
      <c r="H92" s="15" t="s">
        <v>215</v>
      </c>
      <c r="I92" s="15" t="s">
        <v>215</v>
      </c>
      <c r="J92" s="15"/>
      <c r="K92" s="16">
        <v>0</v>
      </c>
      <c r="M92">
        <f t="shared" si="8"/>
        <v>80628</v>
      </c>
      <c r="N92">
        <f>IF(AND(A92&gt;0,A92&lt;999),IFERROR(VLOOKUP(results0118[[#This Row],[Card]],U14M[],1,FALSE),0),0)</f>
        <v>0</v>
      </c>
      <c r="O92">
        <f t="shared" si="9"/>
        <v>999</v>
      </c>
      <c r="P92">
        <f t="shared" si="10"/>
        <v>999</v>
      </c>
      <c r="Q92">
        <f t="shared" si="11"/>
        <v>999</v>
      </c>
    </row>
    <row r="93" spans="1:17" x14ac:dyDescent="0.25">
      <c r="A93" s="17">
        <v>999</v>
      </c>
      <c r="B93" s="18">
        <v>74564</v>
      </c>
      <c r="C93" s="18">
        <v>88</v>
      </c>
      <c r="D93" s="19" t="s">
        <v>100</v>
      </c>
      <c r="E93" s="19" t="s">
        <v>101</v>
      </c>
      <c r="F93" s="18">
        <v>5</v>
      </c>
      <c r="G93" s="19" t="s">
        <v>16</v>
      </c>
      <c r="H93" s="19" t="s">
        <v>215</v>
      </c>
      <c r="I93" s="19" t="s">
        <v>215</v>
      </c>
      <c r="J93" s="19"/>
      <c r="K93" s="20">
        <v>0</v>
      </c>
      <c r="M93">
        <f t="shared" si="8"/>
        <v>74564</v>
      </c>
      <c r="N93">
        <f>IF(AND(A93&gt;0,A93&lt;999),IFERROR(VLOOKUP(results0118[[#This Row],[Card]],U14M[],1,FALSE),0),0)</f>
        <v>0</v>
      </c>
      <c r="O93">
        <f t="shared" si="9"/>
        <v>999</v>
      </c>
      <c r="P93">
        <f t="shared" si="10"/>
        <v>999</v>
      </c>
      <c r="Q93">
        <f t="shared" si="11"/>
        <v>999</v>
      </c>
    </row>
    <row r="94" spans="1:17" x14ac:dyDescent="0.25">
      <c r="A94" s="13">
        <v>999</v>
      </c>
      <c r="B94" s="14">
        <v>86128</v>
      </c>
      <c r="C94" s="14">
        <v>89</v>
      </c>
      <c r="D94" s="15" t="s">
        <v>461</v>
      </c>
      <c r="E94" s="15" t="s">
        <v>61</v>
      </c>
      <c r="F94" s="14">
        <v>5</v>
      </c>
      <c r="G94" s="15" t="s">
        <v>16</v>
      </c>
      <c r="H94" s="15" t="s">
        <v>215</v>
      </c>
      <c r="I94" s="15" t="s">
        <v>215</v>
      </c>
      <c r="J94" s="15"/>
      <c r="K94" s="16">
        <v>0</v>
      </c>
      <c r="M94">
        <f t="shared" si="8"/>
        <v>86128</v>
      </c>
      <c r="N94">
        <f>IF(AND(A94&gt;0,A94&lt;999),IFERROR(VLOOKUP(results0118[[#This Row],[Card]],U14M[],1,FALSE),0),0)</f>
        <v>0</v>
      </c>
      <c r="O94">
        <f t="shared" si="9"/>
        <v>999</v>
      </c>
      <c r="P94">
        <f t="shared" si="10"/>
        <v>999</v>
      </c>
      <c r="Q94">
        <f t="shared" si="11"/>
        <v>999</v>
      </c>
    </row>
    <row r="95" spans="1:17" x14ac:dyDescent="0.25">
      <c r="A95" s="17">
        <v>999</v>
      </c>
      <c r="B95" s="18">
        <v>78398</v>
      </c>
      <c r="C95" s="18">
        <v>99</v>
      </c>
      <c r="D95" s="19" t="s">
        <v>156</v>
      </c>
      <c r="E95" s="19" t="s">
        <v>19</v>
      </c>
      <c r="F95" s="18">
        <v>4</v>
      </c>
      <c r="G95" s="19" t="s">
        <v>16</v>
      </c>
      <c r="H95" s="19" t="s">
        <v>215</v>
      </c>
      <c r="I95" s="19" t="s">
        <v>215</v>
      </c>
      <c r="J95" s="19"/>
      <c r="K95" s="20">
        <v>0</v>
      </c>
      <c r="M95">
        <f t="shared" si="8"/>
        <v>78398</v>
      </c>
      <c r="N95">
        <f>IF(AND(A95&gt;0,A95&lt;999),IFERROR(VLOOKUP(results0118[[#This Row],[Card]],U14M[],1,FALSE),0),0)</f>
        <v>0</v>
      </c>
      <c r="O95">
        <f t="shared" si="9"/>
        <v>999</v>
      </c>
      <c r="P95">
        <f t="shared" si="10"/>
        <v>999</v>
      </c>
      <c r="Q95">
        <f t="shared" si="11"/>
        <v>999</v>
      </c>
    </row>
    <row r="96" spans="1:17" x14ac:dyDescent="0.25">
      <c r="A96" s="13">
        <v>999</v>
      </c>
      <c r="B96" s="14">
        <v>82328</v>
      </c>
      <c r="C96" s="14">
        <v>14</v>
      </c>
      <c r="D96" s="15" t="s">
        <v>137</v>
      </c>
      <c r="E96" s="15" t="s">
        <v>15</v>
      </c>
      <c r="F96" s="14">
        <v>4</v>
      </c>
      <c r="G96" s="15" t="s">
        <v>16</v>
      </c>
      <c r="H96" s="15" t="s">
        <v>220</v>
      </c>
      <c r="I96" s="15">
        <v>41.19</v>
      </c>
      <c r="J96" s="15"/>
      <c r="K96" s="16">
        <v>0</v>
      </c>
      <c r="M96">
        <f t="shared" si="8"/>
        <v>82328</v>
      </c>
      <c r="N96">
        <f>IF(AND(A96&gt;0,A96&lt;999),IFERROR(VLOOKUP(results0118[[#This Row],[Card]],U14M[],1,FALSE),0),0)</f>
        <v>0</v>
      </c>
      <c r="O96">
        <f t="shared" si="9"/>
        <v>999</v>
      </c>
      <c r="P96">
        <f t="shared" si="10"/>
        <v>999</v>
      </c>
      <c r="Q96">
        <f t="shared" si="11"/>
        <v>58</v>
      </c>
    </row>
    <row r="97" spans="1:17" x14ac:dyDescent="0.25">
      <c r="A97" s="17">
        <v>999</v>
      </c>
      <c r="B97" s="18">
        <v>84752</v>
      </c>
      <c r="C97" s="18">
        <v>15</v>
      </c>
      <c r="D97" s="19" t="s">
        <v>140</v>
      </c>
      <c r="E97" s="19" t="s">
        <v>15</v>
      </c>
      <c r="F97" s="18">
        <v>5</v>
      </c>
      <c r="G97" s="19" t="s">
        <v>16</v>
      </c>
      <c r="H97" s="19" t="s">
        <v>220</v>
      </c>
      <c r="I97" s="19">
        <v>42.62</v>
      </c>
      <c r="J97" s="19"/>
      <c r="K97" s="20">
        <v>0</v>
      </c>
      <c r="M97">
        <f t="shared" si="8"/>
        <v>84752</v>
      </c>
      <c r="N97">
        <f>IF(AND(A97&gt;0,A97&lt;999),IFERROR(VLOOKUP(results0118[[#This Row],[Card]],U14M[],1,FALSE),0),0)</f>
        <v>0</v>
      </c>
      <c r="O97">
        <f t="shared" si="9"/>
        <v>999</v>
      </c>
      <c r="P97">
        <f t="shared" si="10"/>
        <v>999</v>
      </c>
      <c r="Q97">
        <f t="shared" si="11"/>
        <v>71</v>
      </c>
    </row>
    <row r="98" spans="1:17" x14ac:dyDescent="0.25">
      <c r="A98" s="13">
        <v>999</v>
      </c>
      <c r="B98" s="14">
        <v>78517</v>
      </c>
      <c r="C98" s="14">
        <v>31</v>
      </c>
      <c r="D98" s="15" t="s">
        <v>14</v>
      </c>
      <c r="E98" s="15" t="s">
        <v>15</v>
      </c>
      <c r="F98" s="14">
        <v>4</v>
      </c>
      <c r="G98" s="15" t="s">
        <v>16</v>
      </c>
      <c r="H98" s="15" t="s">
        <v>220</v>
      </c>
      <c r="I98" s="15">
        <v>34.799999999999997</v>
      </c>
      <c r="J98" s="15"/>
      <c r="K98" s="16">
        <v>0</v>
      </c>
      <c r="M98">
        <f t="shared" ref="M98:M114" si="12">B98</f>
        <v>78517</v>
      </c>
      <c r="N98">
        <f>IF(AND(A98&gt;0,A98&lt;999),IFERROR(VLOOKUP(results0118[[#This Row],[Card]],U14M[],1,FALSE),0),0)</f>
        <v>0</v>
      </c>
      <c r="O98">
        <f t="shared" ref="O98:O114" si="13">A98</f>
        <v>999</v>
      </c>
      <c r="P98">
        <f t="shared" ref="P98:P114" si="14">IFERROR(_xlfn.RANK.EQ(H98,$H$2:$H$114,1),999)</f>
        <v>999</v>
      </c>
      <c r="Q98">
        <f t="shared" ref="Q98:Q114" si="15">IFERROR(_xlfn.RANK.EQ(I98,$I$2:$I$114,1),999)</f>
        <v>1</v>
      </c>
    </row>
    <row r="99" spans="1:17" x14ac:dyDescent="0.25">
      <c r="A99" s="17">
        <v>999</v>
      </c>
      <c r="B99" s="18">
        <v>82440</v>
      </c>
      <c r="C99" s="18">
        <v>35</v>
      </c>
      <c r="D99" s="19" t="s">
        <v>56</v>
      </c>
      <c r="E99" s="19" t="s">
        <v>15</v>
      </c>
      <c r="F99" s="18">
        <v>4</v>
      </c>
      <c r="G99" s="19" t="s">
        <v>16</v>
      </c>
      <c r="H99" s="19" t="s">
        <v>220</v>
      </c>
      <c r="I99" s="19" t="s">
        <v>215</v>
      </c>
      <c r="J99" s="19"/>
      <c r="K99" s="20">
        <v>0</v>
      </c>
      <c r="M99">
        <f t="shared" si="12"/>
        <v>82440</v>
      </c>
      <c r="N99">
        <f>IF(AND(A99&gt;0,A99&lt;999),IFERROR(VLOOKUP(results0118[[#This Row],[Card]],U14M[],1,FALSE),0),0)</f>
        <v>0</v>
      </c>
      <c r="O99">
        <f t="shared" si="13"/>
        <v>999</v>
      </c>
      <c r="P99">
        <f t="shared" si="14"/>
        <v>999</v>
      </c>
      <c r="Q99">
        <f t="shared" si="15"/>
        <v>999</v>
      </c>
    </row>
    <row r="100" spans="1:17" x14ac:dyDescent="0.25">
      <c r="A100" s="13">
        <v>999</v>
      </c>
      <c r="B100" s="14">
        <v>81705</v>
      </c>
      <c r="C100" s="14">
        <v>51</v>
      </c>
      <c r="D100" s="15" t="s">
        <v>165</v>
      </c>
      <c r="E100" s="15" t="s">
        <v>31</v>
      </c>
      <c r="F100" s="14">
        <v>4</v>
      </c>
      <c r="G100" s="15" t="s">
        <v>16</v>
      </c>
      <c r="H100" s="15" t="s">
        <v>220</v>
      </c>
      <c r="I100" s="15">
        <v>40.69</v>
      </c>
      <c r="J100" s="15"/>
      <c r="K100" s="16">
        <v>0</v>
      </c>
      <c r="M100">
        <f t="shared" si="12"/>
        <v>81705</v>
      </c>
      <c r="N100">
        <f>IF(AND(A100&gt;0,A100&lt;999),IFERROR(VLOOKUP(results0118[[#This Row],[Card]],U14M[],1,FALSE),0),0)</f>
        <v>0</v>
      </c>
      <c r="O100">
        <f t="shared" si="13"/>
        <v>999</v>
      </c>
      <c r="P100">
        <f t="shared" si="14"/>
        <v>999</v>
      </c>
      <c r="Q100">
        <f t="shared" si="15"/>
        <v>51</v>
      </c>
    </row>
    <row r="101" spans="1:17" x14ac:dyDescent="0.25">
      <c r="A101" s="17">
        <v>999</v>
      </c>
      <c r="B101" s="18">
        <v>82186</v>
      </c>
      <c r="C101" s="18">
        <v>60</v>
      </c>
      <c r="D101" s="19" t="s">
        <v>114</v>
      </c>
      <c r="E101" s="19" t="s">
        <v>15</v>
      </c>
      <c r="F101" s="18">
        <v>4</v>
      </c>
      <c r="G101" s="19" t="s">
        <v>16</v>
      </c>
      <c r="H101" s="19" t="s">
        <v>220</v>
      </c>
      <c r="I101" s="19">
        <v>38.82</v>
      </c>
      <c r="J101" s="19"/>
      <c r="K101" s="20">
        <v>0</v>
      </c>
      <c r="M101">
        <f t="shared" si="12"/>
        <v>82186</v>
      </c>
      <c r="N101">
        <f>IF(AND(A101&gt;0,A101&lt;999),IFERROR(VLOOKUP(results0118[[#This Row],[Card]],U14M[],1,FALSE),0),0)</f>
        <v>0</v>
      </c>
      <c r="O101">
        <f t="shared" si="13"/>
        <v>999</v>
      </c>
      <c r="P101">
        <f t="shared" si="14"/>
        <v>999</v>
      </c>
      <c r="Q101">
        <f t="shared" si="15"/>
        <v>32</v>
      </c>
    </row>
    <row r="102" spans="1:17" x14ac:dyDescent="0.25">
      <c r="A102" s="13">
        <v>999</v>
      </c>
      <c r="B102" s="14">
        <v>77214</v>
      </c>
      <c r="C102" s="14">
        <v>83</v>
      </c>
      <c r="D102" s="15" t="s">
        <v>154</v>
      </c>
      <c r="E102" s="15" t="s">
        <v>155</v>
      </c>
      <c r="F102" s="14">
        <v>5</v>
      </c>
      <c r="G102" s="15" t="s">
        <v>16</v>
      </c>
      <c r="H102" s="15" t="s">
        <v>220</v>
      </c>
      <c r="I102" s="15" t="s">
        <v>215</v>
      </c>
      <c r="J102" s="15"/>
      <c r="K102" s="16">
        <v>0</v>
      </c>
      <c r="M102">
        <f t="shared" si="12"/>
        <v>77214</v>
      </c>
      <c r="N102">
        <f>IF(AND(A102&gt;0,A102&lt;999),IFERROR(VLOOKUP(results0118[[#This Row],[Card]],U14M[],1,FALSE),0),0)</f>
        <v>0</v>
      </c>
      <c r="O102">
        <f t="shared" si="13"/>
        <v>999</v>
      </c>
      <c r="P102">
        <f t="shared" si="14"/>
        <v>999</v>
      </c>
      <c r="Q102">
        <f t="shared" si="15"/>
        <v>999</v>
      </c>
    </row>
    <row r="103" spans="1:17" x14ac:dyDescent="0.25">
      <c r="A103" s="17">
        <v>999</v>
      </c>
      <c r="B103" s="18">
        <v>80824</v>
      </c>
      <c r="C103" s="18">
        <v>93</v>
      </c>
      <c r="D103" s="19" t="s">
        <v>80</v>
      </c>
      <c r="E103" s="19" t="s">
        <v>54</v>
      </c>
      <c r="F103" s="18">
        <v>4</v>
      </c>
      <c r="G103" s="19" t="s">
        <v>16</v>
      </c>
      <c r="H103" s="19" t="s">
        <v>220</v>
      </c>
      <c r="I103" s="19">
        <v>36.729999999999997</v>
      </c>
      <c r="J103" s="19"/>
      <c r="K103" s="20">
        <v>0</v>
      </c>
      <c r="M103">
        <f t="shared" si="12"/>
        <v>80824</v>
      </c>
      <c r="N103">
        <f>IF(AND(A103&gt;0,A103&lt;999),IFERROR(VLOOKUP(results0118[[#This Row],[Card]],U14M[],1,FALSE),0),0)</f>
        <v>0</v>
      </c>
      <c r="O103">
        <f t="shared" si="13"/>
        <v>999</v>
      </c>
      <c r="P103">
        <f t="shared" si="14"/>
        <v>999</v>
      </c>
      <c r="Q103">
        <f t="shared" si="15"/>
        <v>12</v>
      </c>
    </row>
    <row r="104" spans="1:17" x14ac:dyDescent="0.25">
      <c r="A104" s="13">
        <v>999</v>
      </c>
      <c r="B104" s="14">
        <v>81112</v>
      </c>
      <c r="C104" s="14">
        <v>101</v>
      </c>
      <c r="D104" s="15" t="s">
        <v>63</v>
      </c>
      <c r="E104" s="15" t="s">
        <v>22</v>
      </c>
      <c r="F104" s="14">
        <v>4</v>
      </c>
      <c r="G104" s="15" t="s">
        <v>16</v>
      </c>
      <c r="H104" s="15" t="s">
        <v>220</v>
      </c>
      <c r="I104" s="15">
        <v>37.700000000000003</v>
      </c>
      <c r="J104" s="15"/>
      <c r="K104" s="16">
        <v>0</v>
      </c>
      <c r="M104">
        <f t="shared" si="12"/>
        <v>81112</v>
      </c>
      <c r="N104">
        <f>IF(AND(A104&gt;0,A104&lt;999),IFERROR(VLOOKUP(results0118[[#This Row],[Card]],U14M[],1,FALSE),0),0)</f>
        <v>0</v>
      </c>
      <c r="O104">
        <f t="shared" si="13"/>
        <v>999</v>
      </c>
      <c r="P104">
        <f t="shared" si="14"/>
        <v>999</v>
      </c>
      <c r="Q104">
        <f t="shared" si="15"/>
        <v>20</v>
      </c>
    </row>
    <row r="105" spans="1:17" x14ac:dyDescent="0.25">
      <c r="A105" s="17">
        <v>999</v>
      </c>
      <c r="B105" s="18">
        <v>81322</v>
      </c>
      <c r="C105" s="18">
        <v>1</v>
      </c>
      <c r="D105" s="19" t="s">
        <v>72</v>
      </c>
      <c r="E105" s="19" t="s">
        <v>22</v>
      </c>
      <c r="F105" s="18">
        <v>4</v>
      </c>
      <c r="G105" s="19" t="s">
        <v>16</v>
      </c>
      <c r="H105" s="19">
        <v>35.68</v>
      </c>
      <c r="I105" s="19" t="s">
        <v>220</v>
      </c>
      <c r="J105" s="19"/>
      <c r="K105" s="20">
        <v>0</v>
      </c>
      <c r="M105">
        <f t="shared" si="12"/>
        <v>81322</v>
      </c>
      <c r="N105">
        <f>IF(AND(A105&gt;0,A105&lt;999),IFERROR(VLOOKUP(results0118[[#This Row],[Card]],U14M[],1,FALSE),0),0)</f>
        <v>0</v>
      </c>
      <c r="O105">
        <f t="shared" si="13"/>
        <v>999</v>
      </c>
      <c r="P105">
        <f t="shared" si="14"/>
        <v>20</v>
      </c>
      <c r="Q105">
        <f t="shared" si="15"/>
        <v>999</v>
      </c>
    </row>
    <row r="106" spans="1:17" x14ac:dyDescent="0.25">
      <c r="A106" s="13">
        <v>999</v>
      </c>
      <c r="B106" s="14">
        <v>80627</v>
      </c>
      <c r="C106" s="14">
        <v>18</v>
      </c>
      <c r="D106" s="15" t="s">
        <v>222</v>
      </c>
      <c r="E106" s="15" t="s">
        <v>19</v>
      </c>
      <c r="F106" s="14">
        <v>5</v>
      </c>
      <c r="G106" s="15" t="s">
        <v>16</v>
      </c>
      <c r="H106" s="15">
        <v>40.5</v>
      </c>
      <c r="I106" s="15" t="s">
        <v>220</v>
      </c>
      <c r="J106" s="15"/>
      <c r="K106" s="16">
        <v>0</v>
      </c>
      <c r="M106">
        <f t="shared" si="12"/>
        <v>80627</v>
      </c>
      <c r="N106">
        <f>IF(AND(A106&gt;0,A106&lt;999),IFERROR(VLOOKUP(results0118[[#This Row],[Card]],U14M[],1,FALSE),0),0)</f>
        <v>0</v>
      </c>
      <c r="O106">
        <f t="shared" si="13"/>
        <v>999</v>
      </c>
      <c r="P106">
        <f t="shared" si="14"/>
        <v>79</v>
      </c>
      <c r="Q106">
        <f t="shared" si="15"/>
        <v>999</v>
      </c>
    </row>
    <row r="107" spans="1:17" x14ac:dyDescent="0.25">
      <c r="A107" s="17">
        <v>999</v>
      </c>
      <c r="B107" s="18">
        <v>81459</v>
      </c>
      <c r="C107" s="18">
        <v>25</v>
      </c>
      <c r="D107" s="19" t="s">
        <v>225</v>
      </c>
      <c r="E107" s="19" t="s">
        <v>101</v>
      </c>
      <c r="F107" s="18">
        <v>5</v>
      </c>
      <c r="G107" s="19" t="s">
        <v>16</v>
      </c>
      <c r="H107" s="19">
        <v>36.56</v>
      </c>
      <c r="I107" s="19" t="s">
        <v>220</v>
      </c>
      <c r="J107" s="19"/>
      <c r="K107" s="20">
        <v>0</v>
      </c>
      <c r="M107">
        <f t="shared" si="12"/>
        <v>81459</v>
      </c>
      <c r="N107">
        <f>IF(AND(A107&gt;0,A107&lt;999),IFERROR(VLOOKUP(results0118[[#This Row],[Card]],U14M[],1,FALSE),0),0)</f>
        <v>0</v>
      </c>
      <c r="O107">
        <f t="shared" si="13"/>
        <v>999</v>
      </c>
      <c r="P107">
        <f t="shared" si="14"/>
        <v>32</v>
      </c>
      <c r="Q107">
        <f t="shared" si="15"/>
        <v>999</v>
      </c>
    </row>
    <row r="108" spans="1:17" x14ac:dyDescent="0.25">
      <c r="A108" s="13">
        <v>999</v>
      </c>
      <c r="B108" s="14">
        <v>85546</v>
      </c>
      <c r="C108" s="14">
        <v>37</v>
      </c>
      <c r="D108" s="15" t="s">
        <v>221</v>
      </c>
      <c r="E108" s="15" t="s">
        <v>117</v>
      </c>
      <c r="F108" s="14">
        <v>4</v>
      </c>
      <c r="G108" s="15" t="s">
        <v>16</v>
      </c>
      <c r="H108" s="15">
        <v>38.700000000000003</v>
      </c>
      <c r="I108" s="15" t="s">
        <v>220</v>
      </c>
      <c r="J108" s="15"/>
      <c r="K108" s="16">
        <v>0</v>
      </c>
      <c r="M108">
        <f t="shared" si="12"/>
        <v>85546</v>
      </c>
      <c r="N108">
        <f>IF(AND(A108&gt;0,A108&lt;999),IFERROR(VLOOKUP(results0118[[#This Row],[Card]],U14M[],1,FALSE),0),0)</f>
        <v>0</v>
      </c>
      <c r="O108">
        <f t="shared" si="13"/>
        <v>999</v>
      </c>
      <c r="P108">
        <f t="shared" si="14"/>
        <v>56</v>
      </c>
      <c r="Q108">
        <f t="shared" si="15"/>
        <v>999</v>
      </c>
    </row>
    <row r="109" spans="1:17" x14ac:dyDescent="0.25">
      <c r="A109" s="17">
        <v>999</v>
      </c>
      <c r="B109" s="18">
        <v>81740</v>
      </c>
      <c r="C109" s="18">
        <v>48</v>
      </c>
      <c r="D109" s="19" t="s">
        <v>160</v>
      </c>
      <c r="E109" s="19" t="s">
        <v>31</v>
      </c>
      <c r="F109" s="18">
        <v>4</v>
      </c>
      <c r="G109" s="19" t="s">
        <v>16</v>
      </c>
      <c r="H109" s="19">
        <v>37.340000000000003</v>
      </c>
      <c r="I109" s="19" t="s">
        <v>220</v>
      </c>
      <c r="J109" s="19"/>
      <c r="K109" s="20">
        <v>0</v>
      </c>
      <c r="M109">
        <f t="shared" si="12"/>
        <v>81740</v>
      </c>
      <c r="N109">
        <f>IF(AND(A109&gt;0,A109&lt;999),IFERROR(VLOOKUP(results0118[[#This Row],[Card]],U14M[],1,FALSE),0),0)</f>
        <v>0</v>
      </c>
      <c r="O109">
        <f t="shared" si="13"/>
        <v>999</v>
      </c>
      <c r="P109">
        <f t="shared" si="14"/>
        <v>44</v>
      </c>
      <c r="Q109">
        <f t="shared" si="15"/>
        <v>999</v>
      </c>
    </row>
    <row r="110" spans="1:17" x14ac:dyDescent="0.25">
      <c r="A110" s="13">
        <v>999</v>
      </c>
      <c r="B110" s="14">
        <v>85950</v>
      </c>
      <c r="C110" s="14">
        <v>77</v>
      </c>
      <c r="D110" s="15" t="s">
        <v>206</v>
      </c>
      <c r="E110" s="15" t="s">
        <v>31</v>
      </c>
      <c r="F110" s="14">
        <v>4</v>
      </c>
      <c r="G110" s="15" t="s">
        <v>16</v>
      </c>
      <c r="H110" s="15">
        <v>42.96</v>
      </c>
      <c r="I110" s="15" t="s">
        <v>220</v>
      </c>
      <c r="J110" s="15"/>
      <c r="K110" s="16">
        <v>0</v>
      </c>
      <c r="M110">
        <f t="shared" si="12"/>
        <v>85950</v>
      </c>
      <c r="N110">
        <f>IF(AND(A110&gt;0,A110&lt;999),IFERROR(VLOOKUP(results0118[[#This Row],[Card]],U14M[],1,FALSE),0),0)</f>
        <v>0</v>
      </c>
      <c r="O110">
        <f t="shared" si="13"/>
        <v>999</v>
      </c>
      <c r="P110">
        <f t="shared" si="14"/>
        <v>92</v>
      </c>
      <c r="Q110">
        <f t="shared" si="15"/>
        <v>999</v>
      </c>
    </row>
    <row r="111" spans="1:17" x14ac:dyDescent="0.25">
      <c r="A111" s="17">
        <v>999</v>
      </c>
      <c r="B111" s="18">
        <v>82224</v>
      </c>
      <c r="C111" s="18">
        <v>80</v>
      </c>
      <c r="D111" s="19" t="s">
        <v>190</v>
      </c>
      <c r="E111" s="19" t="s">
        <v>101</v>
      </c>
      <c r="F111" s="18">
        <v>4</v>
      </c>
      <c r="G111" s="19" t="s">
        <v>16</v>
      </c>
      <c r="H111" s="19">
        <v>39.36</v>
      </c>
      <c r="I111" s="19" t="s">
        <v>220</v>
      </c>
      <c r="J111" s="19"/>
      <c r="K111" s="20">
        <v>0</v>
      </c>
      <c r="M111">
        <f t="shared" si="12"/>
        <v>82224</v>
      </c>
      <c r="N111">
        <f>IF(AND(A111&gt;0,A111&lt;999),IFERROR(VLOOKUP(results0118[[#This Row],[Card]],U14M[],1,FALSE),0),0)</f>
        <v>0</v>
      </c>
      <c r="O111">
        <f t="shared" si="13"/>
        <v>999</v>
      </c>
      <c r="P111">
        <f t="shared" si="14"/>
        <v>67</v>
      </c>
      <c r="Q111">
        <f t="shared" si="15"/>
        <v>999</v>
      </c>
    </row>
    <row r="112" spans="1:17" x14ac:dyDescent="0.25">
      <c r="A112" s="13">
        <v>999</v>
      </c>
      <c r="B112" s="14">
        <v>80701</v>
      </c>
      <c r="C112" s="14">
        <v>92</v>
      </c>
      <c r="D112" s="15" t="s">
        <v>216</v>
      </c>
      <c r="E112" s="15" t="s">
        <v>31</v>
      </c>
      <c r="F112" s="14">
        <v>5</v>
      </c>
      <c r="G112" s="15" t="s">
        <v>16</v>
      </c>
      <c r="H112" s="15">
        <v>39.590000000000003</v>
      </c>
      <c r="I112" s="15" t="s">
        <v>220</v>
      </c>
      <c r="J112" s="15"/>
      <c r="K112" s="16">
        <v>0</v>
      </c>
      <c r="M112">
        <f t="shared" si="12"/>
        <v>80701</v>
      </c>
      <c r="N112">
        <f>IF(AND(A112&gt;0,A112&lt;999),IFERROR(VLOOKUP(results0118[[#This Row],[Card]],U14M[],1,FALSE),0),0)</f>
        <v>0</v>
      </c>
      <c r="O112">
        <f t="shared" si="13"/>
        <v>999</v>
      </c>
      <c r="P112">
        <f t="shared" si="14"/>
        <v>69</v>
      </c>
      <c r="Q112">
        <f t="shared" si="15"/>
        <v>999</v>
      </c>
    </row>
    <row r="113" spans="1:17" x14ac:dyDescent="0.25">
      <c r="A113" s="17">
        <v>999</v>
      </c>
      <c r="B113" s="18">
        <v>81110</v>
      </c>
      <c r="C113" s="18">
        <v>103</v>
      </c>
      <c r="D113" s="19" t="s">
        <v>86</v>
      </c>
      <c r="E113" s="19" t="s">
        <v>22</v>
      </c>
      <c r="F113" s="18">
        <v>5</v>
      </c>
      <c r="G113" s="19" t="s">
        <v>16</v>
      </c>
      <c r="H113" s="19">
        <v>37.020000000000003</v>
      </c>
      <c r="I113" s="19" t="s">
        <v>220</v>
      </c>
      <c r="J113" s="19"/>
      <c r="K113" s="20">
        <v>0</v>
      </c>
      <c r="M113">
        <f t="shared" si="12"/>
        <v>81110</v>
      </c>
      <c r="N113">
        <f>IF(AND(A113&gt;0,A113&lt;999),IFERROR(VLOOKUP(results0118[[#This Row],[Card]],U14M[],1,FALSE),0),0)</f>
        <v>0</v>
      </c>
      <c r="O113">
        <f t="shared" si="13"/>
        <v>999</v>
      </c>
      <c r="P113">
        <f t="shared" si="14"/>
        <v>39</v>
      </c>
      <c r="Q113">
        <f t="shared" si="15"/>
        <v>999</v>
      </c>
    </row>
    <row r="114" spans="1:17" x14ac:dyDescent="0.25">
      <c r="A114" s="31">
        <v>999</v>
      </c>
      <c r="B114" s="28">
        <v>76864</v>
      </c>
      <c r="C114" s="28">
        <v>108</v>
      </c>
      <c r="D114" s="29" t="s">
        <v>107</v>
      </c>
      <c r="E114" s="29" t="s">
        <v>38</v>
      </c>
      <c r="F114" s="28">
        <v>4</v>
      </c>
      <c r="G114" s="29" t="s">
        <v>16</v>
      </c>
      <c r="H114" s="29">
        <v>37.18</v>
      </c>
      <c r="I114" s="29" t="s">
        <v>220</v>
      </c>
      <c r="J114" s="29"/>
      <c r="K114" s="30">
        <v>0</v>
      </c>
      <c r="M114">
        <f t="shared" si="12"/>
        <v>76864</v>
      </c>
      <c r="N114">
        <f>IF(AND(A114&gt;0,A114&lt;999),IFERROR(VLOOKUP(results0118[[#This Row],[Card]],U14M[],1,FALSE),0),0)</f>
        <v>0</v>
      </c>
      <c r="O114">
        <f t="shared" si="13"/>
        <v>999</v>
      </c>
      <c r="P114">
        <f t="shared" si="14"/>
        <v>41</v>
      </c>
      <c r="Q114">
        <f t="shared" si="15"/>
        <v>999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workbookViewId="0">
      <selection activeCell="R2" sqref="R2"/>
    </sheetView>
  </sheetViews>
  <sheetFormatPr defaultRowHeight="15" x14ac:dyDescent="0.25"/>
  <cols>
    <col min="1" max="1" width="7.42578125" bestFit="1" customWidth="1"/>
    <col min="2" max="2" width="7.140625" bestFit="1" customWidth="1"/>
    <col min="3" max="3" width="5.85546875" bestFit="1" customWidth="1"/>
    <col min="4" max="4" width="24.5703125" bestFit="1" customWidth="1"/>
    <col min="5" max="5" width="7" bestFit="1" customWidth="1"/>
    <col min="6" max="6" width="6.7109375" bestFit="1" customWidth="1"/>
    <col min="7" max="7" width="10.7109375" bestFit="1" customWidth="1"/>
    <col min="8" max="8" width="9.42578125" bestFit="1" customWidth="1"/>
    <col min="9" max="9" width="9.7109375" bestFit="1" customWidth="1"/>
    <col min="10" max="10" width="12" bestFit="1" customWidth="1"/>
    <col min="11" max="11" width="8.42578125" bestFit="1" customWidth="1"/>
  </cols>
  <sheetData>
    <row r="1" spans="1:18" ht="14.45" x14ac:dyDescent="0.3">
      <c r="A1" s="11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N1" s="21" t="s">
        <v>3</v>
      </c>
      <c r="O1" s="21" t="s">
        <v>226</v>
      </c>
      <c r="P1" s="21" t="s">
        <v>8</v>
      </c>
      <c r="Q1" s="32" t="s">
        <v>605</v>
      </c>
      <c r="R1" s="32" t="s">
        <v>606</v>
      </c>
    </row>
    <row r="2" spans="1:18" ht="14.45" x14ac:dyDescent="0.3">
      <c r="A2" s="14">
        <v>1</v>
      </c>
      <c r="B2" s="14">
        <v>81073</v>
      </c>
      <c r="C2" s="14">
        <v>90</v>
      </c>
      <c r="D2" s="15" t="s">
        <v>40</v>
      </c>
      <c r="E2" s="15" t="s">
        <v>15</v>
      </c>
      <c r="F2" s="14">
        <v>4</v>
      </c>
      <c r="G2" s="15" t="s">
        <v>16</v>
      </c>
      <c r="H2" s="15">
        <v>41.42</v>
      </c>
      <c r="I2" s="15">
        <v>37.54</v>
      </c>
      <c r="J2" s="15" t="s">
        <v>395</v>
      </c>
      <c r="K2" s="16">
        <v>0</v>
      </c>
      <c r="N2">
        <f t="shared" ref="N2:N33" si="0">B2</f>
        <v>81073</v>
      </c>
      <c r="O2">
        <f>IF(AND(A2&gt;0,A2&lt;999),IFERROR(VLOOKUP(results0117[[#This Row],[Card]],U14M[],1,FALSE),0),0)</f>
        <v>81073</v>
      </c>
      <c r="P2">
        <f t="shared" ref="P2:P33" si="1">A2</f>
        <v>1</v>
      </c>
      <c r="Q2" s="5">
        <f t="shared" ref="Q2:Q33" si="2">IFERROR(_xlfn.RANK.EQ(H2,$H$2:$H$116,1),999)</f>
        <v>2</v>
      </c>
      <c r="R2" s="5">
        <f t="shared" ref="R2:R33" si="3">IFERROR(_xlfn.RANK.EQ(I2,$I$2:$I$116,1),999)</f>
        <v>5</v>
      </c>
    </row>
    <row r="3" spans="1:18" ht="14.45" x14ac:dyDescent="0.3">
      <c r="A3" s="18">
        <v>2</v>
      </c>
      <c r="B3" s="18">
        <v>80680</v>
      </c>
      <c r="C3" s="18">
        <v>72</v>
      </c>
      <c r="D3" s="19" t="s">
        <v>28</v>
      </c>
      <c r="E3" s="19" t="s">
        <v>15</v>
      </c>
      <c r="F3" s="18">
        <v>4</v>
      </c>
      <c r="G3" s="19" t="s">
        <v>16</v>
      </c>
      <c r="H3" s="19">
        <v>41.36</v>
      </c>
      <c r="I3" s="19">
        <v>37.67</v>
      </c>
      <c r="J3" s="19" t="s">
        <v>396</v>
      </c>
      <c r="K3" s="20">
        <v>0.87</v>
      </c>
      <c r="N3">
        <f t="shared" si="0"/>
        <v>80680</v>
      </c>
      <c r="O3">
        <f>IF(AND(A3&gt;0,A3&lt;999),IFERROR(VLOOKUP(results0117[[#This Row],[Card]],U14M[],1,FALSE),0),0)</f>
        <v>80680</v>
      </c>
      <c r="P3">
        <f t="shared" si="1"/>
        <v>2</v>
      </c>
      <c r="Q3" s="5">
        <f t="shared" si="2"/>
        <v>1</v>
      </c>
      <c r="R3" s="5">
        <f t="shared" si="3"/>
        <v>6</v>
      </c>
    </row>
    <row r="4" spans="1:18" ht="14.45" x14ac:dyDescent="0.3">
      <c r="A4" s="14">
        <v>3</v>
      </c>
      <c r="B4" s="14">
        <v>80717</v>
      </c>
      <c r="C4" s="14">
        <v>112</v>
      </c>
      <c r="D4" s="15" t="s">
        <v>26</v>
      </c>
      <c r="E4" s="15" t="s">
        <v>22</v>
      </c>
      <c r="F4" s="14">
        <v>4</v>
      </c>
      <c r="G4" s="15" t="s">
        <v>16</v>
      </c>
      <c r="H4" s="15">
        <v>41.89</v>
      </c>
      <c r="I4" s="15">
        <v>37.380000000000003</v>
      </c>
      <c r="J4" s="15" t="s">
        <v>397</v>
      </c>
      <c r="K4" s="16">
        <v>3.85</v>
      </c>
      <c r="N4">
        <f t="shared" si="0"/>
        <v>80717</v>
      </c>
      <c r="O4">
        <f>IF(AND(A4&gt;0,A4&lt;999),IFERROR(VLOOKUP(results0117[[#This Row],[Card]],U14M[],1,FALSE),0),0)</f>
        <v>80717</v>
      </c>
      <c r="P4">
        <f t="shared" si="1"/>
        <v>3</v>
      </c>
      <c r="Q4" s="5">
        <f t="shared" si="2"/>
        <v>4</v>
      </c>
      <c r="R4" s="5">
        <f t="shared" si="3"/>
        <v>3</v>
      </c>
    </row>
    <row r="5" spans="1:18" ht="14.45" x14ac:dyDescent="0.3">
      <c r="A5" s="18">
        <v>4</v>
      </c>
      <c r="B5" s="18">
        <v>80709</v>
      </c>
      <c r="C5" s="18">
        <v>37</v>
      </c>
      <c r="D5" s="19" t="s">
        <v>24</v>
      </c>
      <c r="E5" s="19" t="s">
        <v>22</v>
      </c>
      <c r="F5" s="18">
        <v>5</v>
      </c>
      <c r="G5" s="19" t="s">
        <v>16</v>
      </c>
      <c r="H5" s="19">
        <v>41.46</v>
      </c>
      <c r="I5" s="19">
        <v>37.89</v>
      </c>
      <c r="J5" s="19" t="s">
        <v>398</v>
      </c>
      <c r="K5" s="20">
        <v>4.84</v>
      </c>
      <c r="N5">
        <f t="shared" si="0"/>
        <v>80709</v>
      </c>
      <c r="O5">
        <f>IF(AND(A5&gt;0,A5&lt;999),IFERROR(VLOOKUP(results0117[[#This Row],[Card]],U14M[],1,FALSE),0),0)</f>
        <v>80709</v>
      </c>
      <c r="P5">
        <f t="shared" si="1"/>
        <v>4</v>
      </c>
      <c r="Q5" s="5">
        <f t="shared" si="2"/>
        <v>3</v>
      </c>
      <c r="R5" s="5">
        <f t="shared" si="3"/>
        <v>8</v>
      </c>
    </row>
    <row r="6" spans="1:18" ht="14.45" x14ac:dyDescent="0.3">
      <c r="A6" s="14">
        <v>4</v>
      </c>
      <c r="B6" s="14">
        <v>80722</v>
      </c>
      <c r="C6" s="14">
        <v>27</v>
      </c>
      <c r="D6" s="15" t="s">
        <v>33</v>
      </c>
      <c r="E6" s="15" t="s">
        <v>22</v>
      </c>
      <c r="F6" s="14">
        <v>4</v>
      </c>
      <c r="G6" s="15" t="s">
        <v>16</v>
      </c>
      <c r="H6" s="15">
        <v>42.62</v>
      </c>
      <c r="I6" s="15">
        <v>36.729999999999997</v>
      </c>
      <c r="J6" s="15" t="s">
        <v>398</v>
      </c>
      <c r="K6" s="16">
        <v>4.84</v>
      </c>
      <c r="N6">
        <f t="shared" si="0"/>
        <v>80722</v>
      </c>
      <c r="O6">
        <f>IF(AND(A6&gt;0,A6&lt;999),IFERROR(VLOOKUP(results0117[[#This Row],[Card]],U14M[],1,FALSE),0),0)</f>
        <v>80722</v>
      </c>
      <c r="P6">
        <f t="shared" si="1"/>
        <v>4</v>
      </c>
      <c r="Q6" s="5">
        <f t="shared" si="2"/>
        <v>9</v>
      </c>
      <c r="R6" s="5">
        <f t="shared" si="3"/>
        <v>2</v>
      </c>
    </row>
    <row r="7" spans="1:18" ht="14.45" x14ac:dyDescent="0.3">
      <c r="A7" s="18">
        <v>6</v>
      </c>
      <c r="B7" s="18">
        <v>78200</v>
      </c>
      <c r="C7" s="18">
        <v>105</v>
      </c>
      <c r="D7" s="19" t="s">
        <v>49</v>
      </c>
      <c r="E7" s="19" t="s">
        <v>31</v>
      </c>
      <c r="F7" s="18">
        <v>5</v>
      </c>
      <c r="G7" s="19" t="s">
        <v>16</v>
      </c>
      <c r="H7" s="19">
        <v>41.89</v>
      </c>
      <c r="I7" s="19">
        <v>37.69</v>
      </c>
      <c r="J7" s="19" t="s">
        <v>399</v>
      </c>
      <c r="K7" s="20">
        <v>7.7</v>
      </c>
      <c r="N7">
        <f t="shared" si="0"/>
        <v>78200</v>
      </c>
      <c r="O7">
        <f>IF(AND(A7&gt;0,A7&lt;999),IFERROR(VLOOKUP(results0117[[#This Row],[Card]],U14M[],1,FALSE),0),0)</f>
        <v>78200</v>
      </c>
      <c r="P7">
        <f t="shared" si="1"/>
        <v>6</v>
      </c>
      <c r="Q7" s="5">
        <f t="shared" si="2"/>
        <v>4</v>
      </c>
      <c r="R7" s="5">
        <f t="shared" si="3"/>
        <v>7</v>
      </c>
    </row>
    <row r="8" spans="1:18" ht="14.45" x14ac:dyDescent="0.3">
      <c r="A8" s="14">
        <v>7</v>
      </c>
      <c r="B8" s="14">
        <v>80610</v>
      </c>
      <c r="C8" s="14">
        <v>101</v>
      </c>
      <c r="D8" s="15" t="s">
        <v>219</v>
      </c>
      <c r="E8" s="15" t="s">
        <v>15</v>
      </c>
      <c r="F8" s="14">
        <v>5</v>
      </c>
      <c r="G8" s="15" t="s">
        <v>16</v>
      </c>
      <c r="H8" s="15">
        <v>42.55</v>
      </c>
      <c r="I8" s="15">
        <v>37.43</v>
      </c>
      <c r="J8" s="15" t="s">
        <v>400</v>
      </c>
      <c r="K8" s="16">
        <v>12.66</v>
      </c>
      <c r="N8">
        <f t="shared" si="0"/>
        <v>80610</v>
      </c>
      <c r="O8">
        <f>IF(AND(A8&gt;0,A8&lt;999),IFERROR(VLOOKUP(results0117[[#This Row],[Card]],U14M[],1,FALSE),0),0)</f>
        <v>80610</v>
      </c>
      <c r="P8">
        <f t="shared" si="1"/>
        <v>7</v>
      </c>
      <c r="Q8" s="5">
        <f t="shared" si="2"/>
        <v>8</v>
      </c>
      <c r="R8" s="5">
        <f t="shared" si="3"/>
        <v>4</v>
      </c>
    </row>
    <row r="9" spans="1:18" ht="14.45" x14ac:dyDescent="0.3">
      <c r="A9" s="18">
        <v>8</v>
      </c>
      <c r="B9" s="18">
        <v>82431</v>
      </c>
      <c r="C9" s="18">
        <v>13</v>
      </c>
      <c r="D9" s="19" t="s">
        <v>41</v>
      </c>
      <c r="E9" s="19" t="s">
        <v>42</v>
      </c>
      <c r="F9" s="18">
        <v>4</v>
      </c>
      <c r="G9" s="19" t="s">
        <v>16</v>
      </c>
      <c r="H9" s="19">
        <v>42.23</v>
      </c>
      <c r="I9" s="19">
        <v>38.22</v>
      </c>
      <c r="J9" s="19" t="s">
        <v>401</v>
      </c>
      <c r="K9" s="20">
        <v>18.489999999999998</v>
      </c>
      <c r="N9">
        <f t="shared" si="0"/>
        <v>82431</v>
      </c>
      <c r="O9">
        <f>IF(AND(A9&gt;0,A9&lt;999),IFERROR(VLOOKUP(results0117[[#This Row],[Card]],U14M[],1,FALSE),0),0)</f>
        <v>82431</v>
      </c>
      <c r="P9">
        <f t="shared" si="1"/>
        <v>8</v>
      </c>
      <c r="Q9" s="5">
        <f t="shared" si="2"/>
        <v>6</v>
      </c>
      <c r="R9" s="5">
        <f t="shared" si="3"/>
        <v>15</v>
      </c>
    </row>
    <row r="10" spans="1:18" ht="14.45" x14ac:dyDescent="0.3">
      <c r="A10" s="14">
        <v>9</v>
      </c>
      <c r="B10" s="14">
        <v>80685</v>
      </c>
      <c r="C10" s="14">
        <v>87</v>
      </c>
      <c r="D10" s="15" t="s">
        <v>74</v>
      </c>
      <c r="E10" s="15" t="s">
        <v>15</v>
      </c>
      <c r="F10" s="14">
        <v>4</v>
      </c>
      <c r="G10" s="15" t="s">
        <v>16</v>
      </c>
      <c r="H10" s="15">
        <v>42.7</v>
      </c>
      <c r="I10" s="15">
        <v>38.1</v>
      </c>
      <c r="J10" s="15" t="s">
        <v>402</v>
      </c>
      <c r="K10" s="16">
        <v>22.84</v>
      </c>
      <c r="N10">
        <f t="shared" si="0"/>
        <v>80685</v>
      </c>
      <c r="O10">
        <f>IF(AND(A10&gt;0,A10&lt;999),IFERROR(VLOOKUP(results0117[[#This Row],[Card]],U14M[],1,FALSE),0),0)</f>
        <v>80685</v>
      </c>
      <c r="P10">
        <f t="shared" si="1"/>
        <v>9</v>
      </c>
      <c r="Q10" s="5">
        <f t="shared" si="2"/>
        <v>11</v>
      </c>
      <c r="R10" s="5">
        <f t="shared" si="3"/>
        <v>13</v>
      </c>
    </row>
    <row r="11" spans="1:18" ht="14.45" x14ac:dyDescent="0.3">
      <c r="A11" s="18">
        <v>10</v>
      </c>
      <c r="B11" s="18">
        <v>82314</v>
      </c>
      <c r="C11" s="18">
        <v>115</v>
      </c>
      <c r="D11" s="19" t="s">
        <v>78</v>
      </c>
      <c r="E11" s="19" t="s">
        <v>15</v>
      </c>
      <c r="F11" s="18">
        <v>4</v>
      </c>
      <c r="G11" s="19" t="s">
        <v>16</v>
      </c>
      <c r="H11" s="19">
        <v>42.65</v>
      </c>
      <c r="I11" s="19">
        <v>38.229999999999997</v>
      </c>
      <c r="J11" s="19" t="s">
        <v>403</v>
      </c>
      <c r="K11" s="20">
        <v>23.83</v>
      </c>
      <c r="N11">
        <f t="shared" si="0"/>
        <v>82314</v>
      </c>
      <c r="O11">
        <f>IF(AND(A11&gt;0,A11&lt;999),IFERROR(VLOOKUP(results0117[[#This Row],[Card]],U14M[],1,FALSE),0),0)</f>
        <v>82314</v>
      </c>
      <c r="P11">
        <f t="shared" si="1"/>
        <v>10</v>
      </c>
      <c r="Q11" s="5">
        <f t="shared" si="2"/>
        <v>10</v>
      </c>
      <c r="R11" s="5">
        <f t="shared" si="3"/>
        <v>16</v>
      </c>
    </row>
    <row r="12" spans="1:18" ht="14.45" x14ac:dyDescent="0.3">
      <c r="A12" s="14">
        <v>11</v>
      </c>
      <c r="B12" s="14">
        <v>75018</v>
      </c>
      <c r="C12" s="14">
        <v>3</v>
      </c>
      <c r="D12" s="15" t="s">
        <v>60</v>
      </c>
      <c r="E12" s="15" t="s">
        <v>61</v>
      </c>
      <c r="F12" s="14">
        <v>4</v>
      </c>
      <c r="G12" s="15" t="s">
        <v>16</v>
      </c>
      <c r="H12" s="15">
        <v>42.91</v>
      </c>
      <c r="I12" s="15">
        <v>38.119999999999997</v>
      </c>
      <c r="J12" s="15" t="s">
        <v>404</v>
      </c>
      <c r="K12" s="16">
        <v>25.69</v>
      </c>
      <c r="N12">
        <f t="shared" si="0"/>
        <v>75018</v>
      </c>
      <c r="O12">
        <f>IF(AND(A12&gt;0,A12&lt;999),IFERROR(VLOOKUP(results0117[[#This Row],[Card]],U14M[],1,FALSE),0),0)</f>
        <v>75018</v>
      </c>
      <c r="P12">
        <f t="shared" si="1"/>
        <v>11</v>
      </c>
      <c r="Q12" s="5">
        <f t="shared" si="2"/>
        <v>19</v>
      </c>
      <c r="R12" s="5">
        <f t="shared" si="3"/>
        <v>14</v>
      </c>
    </row>
    <row r="13" spans="1:18" ht="14.45" x14ac:dyDescent="0.3">
      <c r="A13" s="18">
        <v>12</v>
      </c>
      <c r="B13" s="18">
        <v>77368</v>
      </c>
      <c r="C13" s="18">
        <v>1</v>
      </c>
      <c r="D13" s="19" t="s">
        <v>35</v>
      </c>
      <c r="E13" s="19" t="s">
        <v>15</v>
      </c>
      <c r="F13" s="18">
        <v>4</v>
      </c>
      <c r="G13" s="19" t="s">
        <v>16</v>
      </c>
      <c r="H13" s="19">
        <v>42.79</v>
      </c>
      <c r="I13" s="19">
        <v>38.31</v>
      </c>
      <c r="J13" s="19" t="s">
        <v>405</v>
      </c>
      <c r="K13" s="20">
        <v>26.56</v>
      </c>
      <c r="N13">
        <f t="shared" si="0"/>
        <v>77368</v>
      </c>
      <c r="O13">
        <f>IF(AND(A13&gt;0,A13&lt;999),IFERROR(VLOOKUP(results0117[[#This Row],[Card]],U14M[],1,FALSE),0),0)</f>
        <v>77368</v>
      </c>
      <c r="P13">
        <f t="shared" si="1"/>
        <v>12</v>
      </c>
      <c r="Q13" s="5">
        <f t="shared" si="2"/>
        <v>13</v>
      </c>
      <c r="R13" s="5">
        <f t="shared" si="3"/>
        <v>17</v>
      </c>
    </row>
    <row r="14" spans="1:18" ht="14.45" x14ac:dyDescent="0.3">
      <c r="A14" s="14">
        <v>13</v>
      </c>
      <c r="B14" s="14">
        <v>80824</v>
      </c>
      <c r="C14" s="14">
        <v>91</v>
      </c>
      <c r="D14" s="15" t="s">
        <v>80</v>
      </c>
      <c r="E14" s="15" t="s">
        <v>54</v>
      </c>
      <c r="F14" s="14">
        <v>4</v>
      </c>
      <c r="G14" s="15" t="s">
        <v>16</v>
      </c>
      <c r="H14" s="15">
        <v>43.35</v>
      </c>
      <c r="I14" s="15">
        <v>37.94</v>
      </c>
      <c r="J14" s="15" t="s">
        <v>406</v>
      </c>
      <c r="K14" s="16">
        <v>28.92</v>
      </c>
      <c r="N14">
        <f t="shared" si="0"/>
        <v>80824</v>
      </c>
      <c r="O14">
        <f>IF(AND(A14&gt;0,A14&lt;999),IFERROR(VLOOKUP(results0117[[#This Row],[Card]],U14M[],1,FALSE),0),0)</f>
        <v>80824</v>
      </c>
      <c r="P14">
        <f t="shared" si="1"/>
        <v>13</v>
      </c>
      <c r="Q14" s="5">
        <f t="shared" si="2"/>
        <v>24</v>
      </c>
      <c r="R14" s="5">
        <f t="shared" si="3"/>
        <v>9</v>
      </c>
    </row>
    <row r="15" spans="1:18" ht="14.45" x14ac:dyDescent="0.3">
      <c r="A15" s="18">
        <v>13</v>
      </c>
      <c r="B15" s="18">
        <v>80715</v>
      </c>
      <c r="C15" s="18">
        <v>19</v>
      </c>
      <c r="D15" s="19" t="s">
        <v>65</v>
      </c>
      <c r="E15" s="19" t="s">
        <v>22</v>
      </c>
      <c r="F15" s="18">
        <v>4</v>
      </c>
      <c r="G15" s="19" t="s">
        <v>16</v>
      </c>
      <c r="H15" s="19">
        <v>42.92</v>
      </c>
      <c r="I15" s="19">
        <v>38.369999999999997</v>
      </c>
      <c r="J15" s="19" t="s">
        <v>406</v>
      </c>
      <c r="K15" s="20">
        <v>28.92</v>
      </c>
      <c r="N15">
        <f t="shared" si="0"/>
        <v>80715</v>
      </c>
      <c r="O15">
        <f>IF(AND(A15&gt;0,A15&lt;999),IFERROR(VLOOKUP(results0117[[#This Row],[Card]],U14M[],1,FALSE),0),0)</f>
        <v>80715</v>
      </c>
      <c r="P15">
        <f t="shared" si="1"/>
        <v>13</v>
      </c>
      <c r="Q15" s="5">
        <f t="shared" si="2"/>
        <v>20</v>
      </c>
      <c r="R15" s="5">
        <f t="shared" si="3"/>
        <v>18</v>
      </c>
    </row>
    <row r="16" spans="1:18" ht="14.45" x14ac:dyDescent="0.3">
      <c r="A16" s="14">
        <v>15</v>
      </c>
      <c r="B16" s="14">
        <v>84829</v>
      </c>
      <c r="C16" s="14">
        <v>51</v>
      </c>
      <c r="D16" s="15" t="s">
        <v>68</v>
      </c>
      <c r="E16" s="15" t="s">
        <v>15</v>
      </c>
      <c r="F16" s="14">
        <v>5</v>
      </c>
      <c r="G16" s="15" t="s">
        <v>16</v>
      </c>
      <c r="H16" s="15">
        <v>42.71</v>
      </c>
      <c r="I16" s="15">
        <v>38.68</v>
      </c>
      <c r="J16" s="15" t="s">
        <v>407</v>
      </c>
      <c r="K16" s="16">
        <v>30.16</v>
      </c>
      <c r="N16">
        <f t="shared" si="0"/>
        <v>84829</v>
      </c>
      <c r="O16">
        <f>IF(AND(A16&gt;0,A16&lt;999),IFERROR(VLOOKUP(results0117[[#This Row],[Card]],U14M[],1,FALSE),0),0)</f>
        <v>84829</v>
      </c>
      <c r="P16">
        <f t="shared" si="1"/>
        <v>15</v>
      </c>
      <c r="Q16" s="5">
        <f t="shared" si="2"/>
        <v>12</v>
      </c>
      <c r="R16" s="5">
        <f t="shared" si="3"/>
        <v>24</v>
      </c>
    </row>
    <row r="17" spans="1:18" ht="14.45" x14ac:dyDescent="0.3">
      <c r="A17" s="18">
        <v>16</v>
      </c>
      <c r="B17" s="18">
        <v>80729</v>
      </c>
      <c r="C17" s="18">
        <v>78</v>
      </c>
      <c r="D17" s="19" t="s">
        <v>90</v>
      </c>
      <c r="E17" s="19" t="s">
        <v>22</v>
      </c>
      <c r="F17" s="18">
        <v>4</v>
      </c>
      <c r="G17" s="19" t="s">
        <v>16</v>
      </c>
      <c r="H17" s="19">
        <v>42.89</v>
      </c>
      <c r="I17" s="19">
        <v>38.659999999999997</v>
      </c>
      <c r="J17" s="19" t="s">
        <v>408</v>
      </c>
      <c r="K17" s="20">
        <v>32.15</v>
      </c>
      <c r="N17">
        <f t="shared" si="0"/>
        <v>80729</v>
      </c>
      <c r="O17">
        <f>IF(AND(A17&gt;0,A17&lt;999),IFERROR(VLOOKUP(results0117[[#This Row],[Card]],U14M[],1,FALSE),0),0)</f>
        <v>80729</v>
      </c>
      <c r="P17">
        <f t="shared" si="1"/>
        <v>16</v>
      </c>
      <c r="Q17" s="5">
        <f t="shared" si="2"/>
        <v>18</v>
      </c>
      <c r="R17" s="5">
        <f t="shared" si="3"/>
        <v>23</v>
      </c>
    </row>
    <row r="18" spans="1:18" ht="14.45" x14ac:dyDescent="0.3">
      <c r="A18" s="14">
        <v>17</v>
      </c>
      <c r="B18" s="14">
        <v>80669</v>
      </c>
      <c r="C18" s="14">
        <v>94</v>
      </c>
      <c r="D18" s="15" t="s">
        <v>70</v>
      </c>
      <c r="E18" s="15" t="s">
        <v>15</v>
      </c>
      <c r="F18" s="14">
        <v>4</v>
      </c>
      <c r="G18" s="15" t="s">
        <v>16</v>
      </c>
      <c r="H18" s="15">
        <v>42.8</v>
      </c>
      <c r="I18" s="15">
        <v>39.01</v>
      </c>
      <c r="J18" s="15" t="s">
        <v>409</v>
      </c>
      <c r="K18" s="16">
        <v>35.369999999999997</v>
      </c>
      <c r="N18">
        <f t="shared" si="0"/>
        <v>80669</v>
      </c>
      <c r="O18">
        <f>IF(AND(A18&gt;0,A18&lt;999),IFERROR(VLOOKUP(results0117[[#This Row],[Card]],U14M[],1,FALSE),0),0)</f>
        <v>80669</v>
      </c>
      <c r="P18">
        <f t="shared" si="1"/>
        <v>17</v>
      </c>
      <c r="Q18" s="5">
        <f t="shared" si="2"/>
        <v>14</v>
      </c>
      <c r="R18" s="5">
        <f t="shared" si="3"/>
        <v>27</v>
      </c>
    </row>
    <row r="19" spans="1:18" ht="14.45" x14ac:dyDescent="0.3">
      <c r="A19" s="18">
        <v>18</v>
      </c>
      <c r="B19" s="18">
        <v>76653</v>
      </c>
      <c r="C19" s="18">
        <v>12</v>
      </c>
      <c r="D19" s="19" t="s">
        <v>37</v>
      </c>
      <c r="E19" s="19" t="s">
        <v>38</v>
      </c>
      <c r="F19" s="18">
        <v>4</v>
      </c>
      <c r="G19" s="19" t="s">
        <v>16</v>
      </c>
      <c r="H19" s="19">
        <v>42.83</v>
      </c>
      <c r="I19" s="19">
        <v>39.15</v>
      </c>
      <c r="J19" s="19" t="s">
        <v>410</v>
      </c>
      <c r="K19" s="20">
        <v>37.479999999999997</v>
      </c>
      <c r="N19">
        <f t="shared" si="0"/>
        <v>76653</v>
      </c>
      <c r="O19">
        <f>IF(AND(A19&gt;0,A19&lt;999),IFERROR(VLOOKUP(results0117[[#This Row],[Card]],U14M[],1,FALSE),0),0)</f>
        <v>76653</v>
      </c>
      <c r="P19">
        <f t="shared" si="1"/>
        <v>18</v>
      </c>
      <c r="Q19" s="5">
        <f t="shared" si="2"/>
        <v>17</v>
      </c>
      <c r="R19" s="5">
        <f t="shared" si="3"/>
        <v>28</v>
      </c>
    </row>
    <row r="20" spans="1:18" ht="14.45" x14ac:dyDescent="0.3">
      <c r="A20" s="14">
        <v>19</v>
      </c>
      <c r="B20" s="14">
        <v>80683</v>
      </c>
      <c r="C20" s="14">
        <v>5</v>
      </c>
      <c r="D20" s="15" t="s">
        <v>67</v>
      </c>
      <c r="E20" s="15" t="s">
        <v>15</v>
      </c>
      <c r="F20" s="14">
        <v>4</v>
      </c>
      <c r="G20" s="15" t="s">
        <v>16</v>
      </c>
      <c r="H20" s="15">
        <v>42.82</v>
      </c>
      <c r="I20" s="15">
        <v>39.25</v>
      </c>
      <c r="J20" s="15" t="s">
        <v>411</v>
      </c>
      <c r="K20" s="16">
        <v>38.6</v>
      </c>
      <c r="N20">
        <f t="shared" si="0"/>
        <v>80683</v>
      </c>
      <c r="O20">
        <f>IF(AND(A20&gt;0,A20&lt;999),IFERROR(VLOOKUP(results0117[[#This Row],[Card]],U14M[],1,FALSE),0),0)</f>
        <v>80683</v>
      </c>
      <c r="P20">
        <f t="shared" si="1"/>
        <v>19</v>
      </c>
      <c r="Q20" s="5">
        <f t="shared" si="2"/>
        <v>15</v>
      </c>
      <c r="R20" s="5">
        <f t="shared" si="3"/>
        <v>29</v>
      </c>
    </row>
    <row r="21" spans="1:18" ht="14.45" x14ac:dyDescent="0.3">
      <c r="A21" s="18">
        <v>20</v>
      </c>
      <c r="B21" s="18">
        <v>80621</v>
      </c>
      <c r="C21" s="18">
        <v>25</v>
      </c>
      <c r="D21" s="19" t="s">
        <v>18</v>
      </c>
      <c r="E21" s="19" t="s">
        <v>19</v>
      </c>
      <c r="F21" s="18">
        <v>4</v>
      </c>
      <c r="G21" s="19" t="s">
        <v>16</v>
      </c>
      <c r="H21" s="19">
        <v>43.69</v>
      </c>
      <c r="I21" s="19">
        <v>38.549999999999997</v>
      </c>
      <c r="J21" s="19" t="s">
        <v>412</v>
      </c>
      <c r="K21" s="20">
        <v>40.71</v>
      </c>
      <c r="N21">
        <f t="shared" si="0"/>
        <v>80621</v>
      </c>
      <c r="O21">
        <f>IF(AND(A21&gt;0,A21&lt;999),IFERROR(VLOOKUP(results0117[[#This Row],[Card]],U14M[],1,FALSE),0),0)</f>
        <v>80621</v>
      </c>
      <c r="P21">
        <f t="shared" si="1"/>
        <v>20</v>
      </c>
      <c r="Q21" s="5">
        <f t="shared" si="2"/>
        <v>31</v>
      </c>
      <c r="R21" s="5">
        <f t="shared" si="3"/>
        <v>19</v>
      </c>
    </row>
    <row r="22" spans="1:18" ht="14.45" x14ac:dyDescent="0.3">
      <c r="A22" s="14">
        <v>21</v>
      </c>
      <c r="B22" s="14">
        <v>81139</v>
      </c>
      <c r="C22" s="14">
        <v>69</v>
      </c>
      <c r="D22" s="15" t="s">
        <v>177</v>
      </c>
      <c r="E22" s="15" t="s">
        <v>22</v>
      </c>
      <c r="F22" s="14">
        <v>4</v>
      </c>
      <c r="G22" s="15" t="s">
        <v>16</v>
      </c>
      <c r="H22" s="15">
        <v>43.23</v>
      </c>
      <c r="I22" s="15">
        <v>39.32</v>
      </c>
      <c r="J22" s="15" t="s">
        <v>413</v>
      </c>
      <c r="K22" s="16">
        <v>44.56</v>
      </c>
      <c r="N22">
        <f t="shared" si="0"/>
        <v>81139</v>
      </c>
      <c r="O22">
        <f>IF(AND(A22&gt;0,A22&lt;999),IFERROR(VLOOKUP(results0117[[#This Row],[Card]],U14M[],1,FALSE),0),0)</f>
        <v>81139</v>
      </c>
      <c r="P22">
        <f t="shared" si="1"/>
        <v>21</v>
      </c>
      <c r="Q22" s="5">
        <f t="shared" si="2"/>
        <v>22</v>
      </c>
      <c r="R22" s="5">
        <f t="shared" si="3"/>
        <v>32</v>
      </c>
    </row>
    <row r="23" spans="1:18" ht="14.45" x14ac:dyDescent="0.3">
      <c r="A23" s="18">
        <v>22</v>
      </c>
      <c r="B23" s="18">
        <v>80718</v>
      </c>
      <c r="C23" s="18">
        <v>14</v>
      </c>
      <c r="D23" s="19" t="s">
        <v>94</v>
      </c>
      <c r="E23" s="19" t="s">
        <v>22</v>
      </c>
      <c r="F23" s="18">
        <v>4</v>
      </c>
      <c r="G23" s="19" t="s">
        <v>16</v>
      </c>
      <c r="H23" s="19">
        <v>43.29</v>
      </c>
      <c r="I23" s="19">
        <v>39.57</v>
      </c>
      <c r="J23" s="19" t="s">
        <v>414</v>
      </c>
      <c r="K23" s="20">
        <v>48.4</v>
      </c>
      <c r="N23">
        <f t="shared" si="0"/>
        <v>80718</v>
      </c>
      <c r="O23">
        <f>IF(AND(A23&gt;0,A23&lt;999),IFERROR(VLOOKUP(results0117[[#This Row],[Card]],U14M[],1,FALSE),0),0)</f>
        <v>80718</v>
      </c>
      <c r="P23">
        <f t="shared" si="1"/>
        <v>22</v>
      </c>
      <c r="Q23" s="5">
        <f t="shared" si="2"/>
        <v>23</v>
      </c>
      <c r="R23" s="5">
        <f t="shared" si="3"/>
        <v>36</v>
      </c>
    </row>
    <row r="24" spans="1:18" ht="14.45" x14ac:dyDescent="0.3">
      <c r="A24" s="14">
        <v>23</v>
      </c>
      <c r="B24" s="14">
        <v>81110</v>
      </c>
      <c r="C24" s="14">
        <v>86</v>
      </c>
      <c r="D24" s="15" t="s">
        <v>86</v>
      </c>
      <c r="E24" s="15" t="s">
        <v>22</v>
      </c>
      <c r="F24" s="14">
        <v>5</v>
      </c>
      <c r="G24" s="15" t="s">
        <v>16</v>
      </c>
      <c r="H24" s="15">
        <v>44.15</v>
      </c>
      <c r="I24" s="15">
        <v>38.79</v>
      </c>
      <c r="J24" s="15" t="s">
        <v>415</v>
      </c>
      <c r="K24" s="16">
        <v>49.4</v>
      </c>
      <c r="N24">
        <f t="shared" si="0"/>
        <v>81110</v>
      </c>
      <c r="O24">
        <f>IF(AND(A24&gt;0,A24&lt;999),IFERROR(VLOOKUP(results0117[[#This Row],[Card]],U14M[],1,FALSE),0),0)</f>
        <v>81110</v>
      </c>
      <c r="P24">
        <f t="shared" si="1"/>
        <v>23</v>
      </c>
      <c r="Q24" s="5">
        <f t="shared" si="2"/>
        <v>34</v>
      </c>
      <c r="R24" s="5">
        <f t="shared" si="3"/>
        <v>25</v>
      </c>
    </row>
    <row r="25" spans="1:18" ht="14.45" x14ac:dyDescent="0.3">
      <c r="A25" s="18">
        <v>24</v>
      </c>
      <c r="B25" s="18">
        <v>78276</v>
      </c>
      <c r="C25" s="18">
        <v>24</v>
      </c>
      <c r="D25" s="19" t="s">
        <v>92</v>
      </c>
      <c r="E25" s="19" t="s">
        <v>31</v>
      </c>
      <c r="F25" s="18">
        <v>4</v>
      </c>
      <c r="G25" s="19" t="s">
        <v>16</v>
      </c>
      <c r="H25" s="19">
        <v>43.66</v>
      </c>
      <c r="I25" s="19">
        <v>39.29</v>
      </c>
      <c r="J25" s="19" t="s">
        <v>416</v>
      </c>
      <c r="K25" s="20">
        <v>49.52</v>
      </c>
      <c r="N25">
        <f t="shared" si="0"/>
        <v>78276</v>
      </c>
      <c r="O25">
        <f>IF(AND(A25&gt;0,A25&lt;999),IFERROR(VLOOKUP(results0117[[#This Row],[Card]],U14M[],1,FALSE),0),0)</f>
        <v>78276</v>
      </c>
      <c r="P25">
        <f t="shared" si="1"/>
        <v>24</v>
      </c>
      <c r="Q25" s="5">
        <f t="shared" si="2"/>
        <v>28</v>
      </c>
      <c r="R25" s="5">
        <f t="shared" si="3"/>
        <v>30</v>
      </c>
    </row>
    <row r="26" spans="1:18" ht="14.45" x14ac:dyDescent="0.3">
      <c r="A26" s="14">
        <v>25</v>
      </c>
      <c r="B26" s="14">
        <v>86113</v>
      </c>
      <c r="C26" s="14">
        <v>84</v>
      </c>
      <c r="D26" s="15" t="s">
        <v>142</v>
      </c>
      <c r="E26" s="15" t="s">
        <v>101</v>
      </c>
      <c r="F26" s="14">
        <v>5</v>
      </c>
      <c r="G26" s="15" t="s">
        <v>16</v>
      </c>
      <c r="H26" s="15">
        <v>43.64</v>
      </c>
      <c r="I26" s="15">
        <v>39.369999999999997</v>
      </c>
      <c r="J26" s="15" t="s">
        <v>417</v>
      </c>
      <c r="K26" s="16">
        <v>50.27</v>
      </c>
      <c r="N26">
        <f t="shared" si="0"/>
        <v>86113</v>
      </c>
      <c r="O26">
        <f>IF(AND(A26&gt;0,A26&lt;999),IFERROR(VLOOKUP(results0117[[#This Row],[Card]],U14M[],1,FALSE),0),0)</f>
        <v>86113</v>
      </c>
      <c r="P26">
        <f t="shared" si="1"/>
        <v>25</v>
      </c>
      <c r="Q26" s="5">
        <f t="shared" si="2"/>
        <v>27</v>
      </c>
      <c r="R26" s="5">
        <f t="shared" si="3"/>
        <v>33</v>
      </c>
    </row>
    <row r="27" spans="1:18" ht="14.45" x14ac:dyDescent="0.3">
      <c r="A27" s="18">
        <v>26</v>
      </c>
      <c r="B27" s="18">
        <v>80720</v>
      </c>
      <c r="C27" s="18">
        <v>68</v>
      </c>
      <c r="D27" s="19" t="s">
        <v>98</v>
      </c>
      <c r="E27" s="19" t="s">
        <v>22</v>
      </c>
      <c r="F27" s="18">
        <v>5</v>
      </c>
      <c r="G27" s="19" t="s">
        <v>16</v>
      </c>
      <c r="H27" s="19">
        <v>43.75</v>
      </c>
      <c r="I27" s="19">
        <v>39.29</v>
      </c>
      <c r="J27" s="19" t="s">
        <v>418</v>
      </c>
      <c r="K27" s="20">
        <v>50.64</v>
      </c>
      <c r="N27">
        <f t="shared" si="0"/>
        <v>80720</v>
      </c>
      <c r="O27">
        <f>IF(AND(A27&gt;0,A27&lt;999),IFERROR(VLOOKUP(results0117[[#This Row],[Card]],U14M[],1,FALSE),0),0)</f>
        <v>80720</v>
      </c>
      <c r="P27">
        <f t="shared" si="1"/>
        <v>26</v>
      </c>
      <c r="Q27" s="5">
        <f t="shared" si="2"/>
        <v>32</v>
      </c>
      <c r="R27" s="5">
        <f t="shared" si="3"/>
        <v>30</v>
      </c>
    </row>
    <row r="28" spans="1:18" x14ac:dyDescent="0.25">
      <c r="A28" s="14">
        <v>27</v>
      </c>
      <c r="B28" s="14">
        <v>82186</v>
      </c>
      <c r="C28" s="14">
        <v>35</v>
      </c>
      <c r="D28" s="15" t="s">
        <v>114</v>
      </c>
      <c r="E28" s="15" t="s">
        <v>15</v>
      </c>
      <c r="F28" s="14">
        <v>4</v>
      </c>
      <c r="G28" s="15" t="s">
        <v>16</v>
      </c>
      <c r="H28" s="15">
        <v>44.5</v>
      </c>
      <c r="I28" s="15">
        <v>38.57</v>
      </c>
      <c r="J28" s="15" t="s">
        <v>419</v>
      </c>
      <c r="K28" s="16">
        <v>51.01</v>
      </c>
      <c r="N28">
        <f t="shared" si="0"/>
        <v>82186</v>
      </c>
      <c r="O28">
        <f>IF(AND(A28&gt;0,A28&lt;999),IFERROR(VLOOKUP(results0117[[#This Row],[Card]],U14M[],1,FALSE),0),0)</f>
        <v>82186</v>
      </c>
      <c r="P28">
        <f t="shared" si="1"/>
        <v>27</v>
      </c>
      <c r="Q28" s="5">
        <f t="shared" si="2"/>
        <v>38</v>
      </c>
      <c r="R28" s="5">
        <f t="shared" si="3"/>
        <v>20</v>
      </c>
    </row>
    <row r="29" spans="1:18" x14ac:dyDescent="0.25">
      <c r="A29" s="18">
        <v>28</v>
      </c>
      <c r="B29" s="18">
        <v>80828</v>
      </c>
      <c r="C29" s="18">
        <v>96</v>
      </c>
      <c r="D29" s="19" t="s">
        <v>88</v>
      </c>
      <c r="E29" s="19" t="s">
        <v>54</v>
      </c>
      <c r="F29" s="18">
        <v>5</v>
      </c>
      <c r="G29" s="19" t="s">
        <v>16</v>
      </c>
      <c r="H29" s="19">
        <v>43.68</v>
      </c>
      <c r="I29" s="19">
        <v>39.53</v>
      </c>
      <c r="J29" s="19" t="s">
        <v>420</v>
      </c>
      <c r="K29" s="20">
        <v>52.75</v>
      </c>
      <c r="N29">
        <f t="shared" si="0"/>
        <v>80828</v>
      </c>
      <c r="O29">
        <f>IF(AND(A29&gt;0,A29&lt;999),IFERROR(VLOOKUP(results0117[[#This Row],[Card]],U14M[],1,FALSE),0),0)</f>
        <v>80828</v>
      </c>
      <c r="P29">
        <f t="shared" si="1"/>
        <v>28</v>
      </c>
      <c r="Q29" s="5">
        <f t="shared" si="2"/>
        <v>29</v>
      </c>
      <c r="R29" s="5">
        <f t="shared" si="3"/>
        <v>34</v>
      </c>
    </row>
    <row r="30" spans="1:18" x14ac:dyDescent="0.25">
      <c r="A30" s="14">
        <v>28</v>
      </c>
      <c r="B30" s="14">
        <v>84763</v>
      </c>
      <c r="C30" s="14">
        <v>95</v>
      </c>
      <c r="D30" s="15" t="s">
        <v>103</v>
      </c>
      <c r="E30" s="15" t="s">
        <v>15</v>
      </c>
      <c r="F30" s="14">
        <v>5</v>
      </c>
      <c r="G30" s="15" t="s">
        <v>16</v>
      </c>
      <c r="H30" s="15">
        <v>43.44</v>
      </c>
      <c r="I30" s="15">
        <v>39.770000000000003</v>
      </c>
      <c r="J30" s="15" t="s">
        <v>420</v>
      </c>
      <c r="K30" s="16">
        <v>52.75</v>
      </c>
      <c r="N30">
        <f t="shared" si="0"/>
        <v>84763</v>
      </c>
      <c r="O30">
        <f>IF(AND(A30&gt;0,A30&lt;999),IFERROR(VLOOKUP(results0117[[#This Row],[Card]],U14M[],1,FALSE),0),0)</f>
        <v>84763</v>
      </c>
      <c r="P30">
        <f t="shared" si="1"/>
        <v>28</v>
      </c>
      <c r="Q30" s="5">
        <f t="shared" si="2"/>
        <v>25</v>
      </c>
      <c r="R30" s="5">
        <f t="shared" si="3"/>
        <v>37</v>
      </c>
    </row>
    <row r="31" spans="1:18" x14ac:dyDescent="0.25">
      <c r="A31" s="18">
        <v>30</v>
      </c>
      <c r="B31" s="18">
        <v>80690</v>
      </c>
      <c r="C31" s="18">
        <v>7</v>
      </c>
      <c r="D31" s="19" t="s">
        <v>148</v>
      </c>
      <c r="E31" s="19" t="s">
        <v>31</v>
      </c>
      <c r="F31" s="18">
        <v>5</v>
      </c>
      <c r="G31" s="19" t="s">
        <v>16</v>
      </c>
      <c r="H31" s="19">
        <v>43.6</v>
      </c>
      <c r="I31" s="19">
        <v>39.799999999999997</v>
      </c>
      <c r="J31" s="19" t="s">
        <v>421</v>
      </c>
      <c r="K31" s="20">
        <v>55.11</v>
      </c>
      <c r="N31">
        <f t="shared" si="0"/>
        <v>80690</v>
      </c>
      <c r="O31">
        <f>IF(AND(A31&gt;0,A31&lt;999),IFERROR(VLOOKUP(results0117[[#This Row],[Card]],U14M[],1,FALSE),0),0)</f>
        <v>80690</v>
      </c>
      <c r="P31">
        <f t="shared" si="1"/>
        <v>30</v>
      </c>
      <c r="Q31" s="5">
        <f t="shared" si="2"/>
        <v>26</v>
      </c>
      <c r="R31" s="5">
        <f t="shared" si="3"/>
        <v>39</v>
      </c>
    </row>
    <row r="32" spans="1:18" x14ac:dyDescent="0.25">
      <c r="A32" s="14">
        <v>31</v>
      </c>
      <c r="B32" s="14">
        <v>85853</v>
      </c>
      <c r="C32" s="14">
        <v>98</v>
      </c>
      <c r="D32" s="15" t="s">
        <v>82</v>
      </c>
      <c r="E32" s="15" t="s">
        <v>15</v>
      </c>
      <c r="F32" s="14">
        <v>5</v>
      </c>
      <c r="G32" s="15" t="s">
        <v>16</v>
      </c>
      <c r="H32" s="15">
        <v>44.9</v>
      </c>
      <c r="I32" s="15">
        <v>38.590000000000003</v>
      </c>
      <c r="J32" s="15" t="s">
        <v>422</v>
      </c>
      <c r="K32" s="16">
        <v>56.22</v>
      </c>
      <c r="N32">
        <f t="shared" si="0"/>
        <v>85853</v>
      </c>
      <c r="O32">
        <f>IF(AND(A32&gt;0,A32&lt;999),IFERROR(VLOOKUP(results0117[[#This Row],[Card]],U14M[],1,FALSE),0),0)</f>
        <v>85853</v>
      </c>
      <c r="P32">
        <f t="shared" si="1"/>
        <v>31</v>
      </c>
      <c r="Q32" s="5">
        <f t="shared" si="2"/>
        <v>49</v>
      </c>
      <c r="R32" s="5">
        <f t="shared" si="3"/>
        <v>21</v>
      </c>
    </row>
    <row r="33" spans="1:18" x14ac:dyDescent="0.25">
      <c r="A33" s="18">
        <v>32</v>
      </c>
      <c r="B33" s="18">
        <v>82440</v>
      </c>
      <c r="C33" s="18">
        <v>30</v>
      </c>
      <c r="D33" s="19" t="s">
        <v>56</v>
      </c>
      <c r="E33" s="19" t="s">
        <v>15</v>
      </c>
      <c r="F33" s="18">
        <v>4</v>
      </c>
      <c r="G33" s="19" t="s">
        <v>16</v>
      </c>
      <c r="H33" s="19">
        <v>44.18</v>
      </c>
      <c r="I33" s="19">
        <v>40.04</v>
      </c>
      <c r="J33" s="19" t="s">
        <v>423</v>
      </c>
      <c r="K33" s="20">
        <v>65.28</v>
      </c>
      <c r="N33">
        <f t="shared" si="0"/>
        <v>82440</v>
      </c>
      <c r="O33">
        <f>IF(AND(A33&gt;0,A33&lt;999),IFERROR(VLOOKUP(results0117[[#This Row],[Card]],U14M[],1,FALSE),0),0)</f>
        <v>82440</v>
      </c>
      <c r="P33">
        <f t="shared" si="1"/>
        <v>32</v>
      </c>
      <c r="Q33" s="5">
        <f t="shared" si="2"/>
        <v>35</v>
      </c>
      <c r="R33" s="5">
        <f t="shared" si="3"/>
        <v>42</v>
      </c>
    </row>
    <row r="34" spans="1:18" x14ac:dyDescent="0.25">
      <c r="A34" s="14">
        <v>33</v>
      </c>
      <c r="B34" s="14">
        <v>82328</v>
      </c>
      <c r="C34" s="14">
        <v>11</v>
      </c>
      <c r="D34" s="15" t="s">
        <v>137</v>
      </c>
      <c r="E34" s="15" t="s">
        <v>15</v>
      </c>
      <c r="F34" s="14">
        <v>4</v>
      </c>
      <c r="G34" s="15" t="s">
        <v>16</v>
      </c>
      <c r="H34" s="15">
        <v>43.77</v>
      </c>
      <c r="I34" s="15">
        <v>40.51</v>
      </c>
      <c r="J34" s="15" t="s">
        <v>424</v>
      </c>
      <c r="K34" s="16">
        <v>66.03</v>
      </c>
      <c r="N34">
        <f t="shared" ref="N34:N65" si="4">B34</f>
        <v>82328</v>
      </c>
      <c r="O34">
        <f>IF(AND(A34&gt;0,A34&lt;999),IFERROR(VLOOKUP(results0117[[#This Row],[Card]],U14M[],1,FALSE),0),0)</f>
        <v>82328</v>
      </c>
      <c r="P34">
        <f t="shared" ref="P34:P65" si="5">A34</f>
        <v>33</v>
      </c>
      <c r="Q34" s="5">
        <f t="shared" ref="Q34:Q65" si="6">IFERROR(_xlfn.RANK.EQ(H34,$H$2:$H$116,1),999)</f>
        <v>33</v>
      </c>
      <c r="R34" s="5">
        <f t="shared" ref="R34:R65" si="7">IFERROR(_xlfn.RANK.EQ(I34,$I$2:$I$116,1),999)</f>
        <v>49</v>
      </c>
    </row>
    <row r="35" spans="1:18" x14ac:dyDescent="0.25">
      <c r="A35" s="18">
        <v>34</v>
      </c>
      <c r="B35" s="18">
        <v>81491</v>
      </c>
      <c r="C35" s="18">
        <v>65</v>
      </c>
      <c r="D35" s="19" t="s">
        <v>105</v>
      </c>
      <c r="E35" s="19" t="s">
        <v>22</v>
      </c>
      <c r="F35" s="18">
        <v>5</v>
      </c>
      <c r="G35" s="19" t="s">
        <v>16</v>
      </c>
      <c r="H35" s="19">
        <v>44.58</v>
      </c>
      <c r="I35" s="19">
        <v>39.979999999999997</v>
      </c>
      <c r="J35" s="19" t="s">
        <v>425</v>
      </c>
      <c r="K35" s="20">
        <v>69.5</v>
      </c>
      <c r="N35">
        <f t="shared" si="4"/>
        <v>81491</v>
      </c>
      <c r="O35">
        <f>IF(AND(A35&gt;0,A35&lt;999),IFERROR(VLOOKUP(results0117[[#This Row],[Card]],U14M[],1,FALSE),0),0)</f>
        <v>81491</v>
      </c>
      <c r="P35">
        <f t="shared" si="5"/>
        <v>34</v>
      </c>
      <c r="Q35" s="5">
        <f t="shared" si="6"/>
        <v>41</v>
      </c>
      <c r="R35" s="5">
        <f t="shared" si="7"/>
        <v>41</v>
      </c>
    </row>
    <row r="36" spans="1:18" x14ac:dyDescent="0.25">
      <c r="A36" s="14">
        <v>35</v>
      </c>
      <c r="B36" s="14">
        <v>80714</v>
      </c>
      <c r="C36" s="14">
        <v>39</v>
      </c>
      <c r="D36" s="15" t="s">
        <v>152</v>
      </c>
      <c r="E36" s="15" t="s">
        <v>22</v>
      </c>
      <c r="F36" s="14">
        <v>5</v>
      </c>
      <c r="G36" s="15" t="s">
        <v>16</v>
      </c>
      <c r="H36" s="15">
        <v>44.59</v>
      </c>
      <c r="I36" s="15">
        <v>40.18</v>
      </c>
      <c r="J36" s="15" t="s">
        <v>426</v>
      </c>
      <c r="K36" s="16">
        <v>72.11</v>
      </c>
      <c r="N36">
        <f t="shared" si="4"/>
        <v>80714</v>
      </c>
      <c r="O36">
        <f>IF(AND(A36&gt;0,A36&lt;999),IFERROR(VLOOKUP(results0117[[#This Row],[Card]],U14M[],1,FALSE),0),0)</f>
        <v>80714</v>
      </c>
      <c r="P36">
        <f t="shared" si="5"/>
        <v>35</v>
      </c>
      <c r="Q36" s="5">
        <f t="shared" si="6"/>
        <v>42</v>
      </c>
      <c r="R36" s="5">
        <f t="shared" si="7"/>
        <v>43</v>
      </c>
    </row>
    <row r="37" spans="1:18" x14ac:dyDescent="0.25">
      <c r="A37" s="18">
        <v>36</v>
      </c>
      <c r="B37" s="18">
        <v>81736</v>
      </c>
      <c r="C37" s="18">
        <v>15</v>
      </c>
      <c r="D37" s="19" t="s">
        <v>184</v>
      </c>
      <c r="E37" s="19" t="s">
        <v>31</v>
      </c>
      <c r="F37" s="18">
        <v>4</v>
      </c>
      <c r="G37" s="19" t="s">
        <v>16</v>
      </c>
      <c r="H37" s="19">
        <v>45.2</v>
      </c>
      <c r="I37" s="19">
        <v>39.79</v>
      </c>
      <c r="J37" s="19" t="s">
        <v>427</v>
      </c>
      <c r="K37" s="20">
        <v>74.84</v>
      </c>
      <c r="N37">
        <f t="shared" si="4"/>
        <v>81736</v>
      </c>
      <c r="O37">
        <f>IF(AND(A37&gt;0,A37&lt;999),IFERROR(VLOOKUP(results0117[[#This Row],[Card]],U14M[],1,FALSE),0),0)</f>
        <v>81736</v>
      </c>
      <c r="P37">
        <f t="shared" si="5"/>
        <v>36</v>
      </c>
      <c r="Q37" s="5">
        <f t="shared" si="6"/>
        <v>53</v>
      </c>
      <c r="R37" s="5">
        <f t="shared" si="7"/>
        <v>38</v>
      </c>
    </row>
    <row r="38" spans="1:18" x14ac:dyDescent="0.25">
      <c r="A38" s="14">
        <v>37</v>
      </c>
      <c r="B38" s="14">
        <v>81500</v>
      </c>
      <c r="C38" s="14">
        <v>81</v>
      </c>
      <c r="D38" s="15" t="s">
        <v>131</v>
      </c>
      <c r="E38" s="15" t="s">
        <v>22</v>
      </c>
      <c r="F38" s="14">
        <v>5</v>
      </c>
      <c r="G38" s="15" t="s">
        <v>16</v>
      </c>
      <c r="H38" s="15">
        <v>44.67</v>
      </c>
      <c r="I38" s="15">
        <v>40.409999999999997</v>
      </c>
      <c r="J38" s="15" t="s">
        <v>428</v>
      </c>
      <c r="K38" s="16">
        <v>75.959999999999994</v>
      </c>
      <c r="N38">
        <f t="shared" si="4"/>
        <v>81500</v>
      </c>
      <c r="O38">
        <f>IF(AND(A38&gt;0,A38&lt;999),IFERROR(VLOOKUP(results0117[[#This Row],[Card]],U14M[],1,FALSE),0),0)</f>
        <v>81500</v>
      </c>
      <c r="P38">
        <f t="shared" si="5"/>
        <v>37</v>
      </c>
      <c r="Q38" s="5">
        <f t="shared" si="6"/>
        <v>44</v>
      </c>
      <c r="R38" s="5">
        <f t="shared" si="7"/>
        <v>46</v>
      </c>
    </row>
    <row r="39" spans="1:18" x14ac:dyDescent="0.25">
      <c r="A39" s="18">
        <v>38</v>
      </c>
      <c r="B39" s="18">
        <v>78165</v>
      </c>
      <c r="C39" s="18">
        <v>9</v>
      </c>
      <c r="D39" s="19" t="s">
        <v>119</v>
      </c>
      <c r="E39" s="19" t="s">
        <v>61</v>
      </c>
      <c r="F39" s="18">
        <v>4</v>
      </c>
      <c r="G39" s="19" t="s">
        <v>16</v>
      </c>
      <c r="H39" s="19">
        <v>44.18</v>
      </c>
      <c r="I39" s="19">
        <v>40.92</v>
      </c>
      <c r="J39" s="19" t="s">
        <v>429</v>
      </c>
      <c r="K39" s="20">
        <v>76.209999999999994</v>
      </c>
      <c r="N39">
        <f t="shared" si="4"/>
        <v>78165</v>
      </c>
      <c r="O39">
        <f>IF(AND(A39&gt;0,A39&lt;999),IFERROR(VLOOKUP(results0117[[#This Row],[Card]],U14M[],1,FALSE),0),0)</f>
        <v>78165</v>
      </c>
      <c r="P39">
        <f t="shared" si="5"/>
        <v>38</v>
      </c>
      <c r="Q39" s="5">
        <f t="shared" si="6"/>
        <v>35</v>
      </c>
      <c r="R39" s="5">
        <f t="shared" si="7"/>
        <v>54</v>
      </c>
    </row>
    <row r="40" spans="1:18" x14ac:dyDescent="0.25">
      <c r="A40" s="14">
        <v>39</v>
      </c>
      <c r="B40" s="14">
        <v>85448</v>
      </c>
      <c r="C40" s="14">
        <v>21</v>
      </c>
      <c r="D40" s="15" t="s">
        <v>224</v>
      </c>
      <c r="E40" s="15" t="s">
        <v>101</v>
      </c>
      <c r="F40" s="14">
        <v>4</v>
      </c>
      <c r="G40" s="15" t="s">
        <v>16</v>
      </c>
      <c r="H40" s="15">
        <v>44.93</v>
      </c>
      <c r="I40" s="15">
        <v>40.5</v>
      </c>
      <c r="J40" s="15" t="s">
        <v>430</v>
      </c>
      <c r="K40" s="16">
        <v>80.3</v>
      </c>
      <c r="N40">
        <f t="shared" si="4"/>
        <v>85448</v>
      </c>
      <c r="O40">
        <f>IF(AND(A40&gt;0,A40&lt;999),IFERROR(VLOOKUP(results0117[[#This Row],[Card]],U14M[],1,FALSE),0),0)</f>
        <v>85448</v>
      </c>
      <c r="P40">
        <f t="shared" si="5"/>
        <v>39</v>
      </c>
      <c r="Q40" s="5">
        <f t="shared" si="6"/>
        <v>51</v>
      </c>
      <c r="R40" s="5">
        <f t="shared" si="7"/>
        <v>48</v>
      </c>
    </row>
    <row r="41" spans="1:18" x14ac:dyDescent="0.25">
      <c r="A41" s="18">
        <v>40</v>
      </c>
      <c r="B41" s="18">
        <v>85546</v>
      </c>
      <c r="C41" s="18">
        <v>56</v>
      </c>
      <c r="D41" s="19" t="s">
        <v>221</v>
      </c>
      <c r="E41" s="19" t="s">
        <v>117</v>
      </c>
      <c r="F41" s="18">
        <v>4</v>
      </c>
      <c r="G41" s="19" t="s">
        <v>16</v>
      </c>
      <c r="H41" s="19">
        <v>44.91</v>
      </c>
      <c r="I41" s="19">
        <v>40.6</v>
      </c>
      <c r="J41" s="19" t="s">
        <v>431</v>
      </c>
      <c r="K41" s="20">
        <v>81.290000000000006</v>
      </c>
      <c r="N41">
        <f t="shared" si="4"/>
        <v>85546</v>
      </c>
      <c r="O41">
        <f>IF(AND(A41&gt;0,A41&lt;999),IFERROR(VLOOKUP(results0117[[#This Row],[Card]],U14M[],1,FALSE),0),0)</f>
        <v>85546</v>
      </c>
      <c r="P41">
        <f t="shared" si="5"/>
        <v>40</v>
      </c>
      <c r="Q41" s="5">
        <f t="shared" si="6"/>
        <v>50</v>
      </c>
      <c r="R41" s="5">
        <f t="shared" si="7"/>
        <v>52</v>
      </c>
    </row>
    <row r="42" spans="1:18" x14ac:dyDescent="0.25">
      <c r="A42" s="14">
        <v>41</v>
      </c>
      <c r="B42" s="14">
        <v>82403</v>
      </c>
      <c r="C42" s="14">
        <v>97</v>
      </c>
      <c r="D42" s="15" t="s">
        <v>175</v>
      </c>
      <c r="E42" s="15" t="s">
        <v>19</v>
      </c>
      <c r="F42" s="14">
        <v>5</v>
      </c>
      <c r="G42" s="15" t="s">
        <v>16</v>
      </c>
      <c r="H42" s="15">
        <v>45.25</v>
      </c>
      <c r="I42" s="15">
        <v>40.32</v>
      </c>
      <c r="J42" s="15" t="s">
        <v>432</v>
      </c>
      <c r="K42" s="16">
        <v>82.04</v>
      </c>
      <c r="N42">
        <f t="shared" si="4"/>
        <v>82403</v>
      </c>
      <c r="O42">
        <f>IF(AND(A42&gt;0,A42&lt;999),IFERROR(VLOOKUP(results0117[[#This Row],[Card]],U14M[],1,FALSE),0),0)</f>
        <v>82403</v>
      </c>
      <c r="P42">
        <f t="shared" si="5"/>
        <v>41</v>
      </c>
      <c r="Q42" s="5">
        <f t="shared" si="6"/>
        <v>55</v>
      </c>
      <c r="R42" s="5">
        <f t="shared" si="7"/>
        <v>45</v>
      </c>
    </row>
    <row r="43" spans="1:18" x14ac:dyDescent="0.25">
      <c r="A43" s="18">
        <v>41</v>
      </c>
      <c r="B43" s="18">
        <v>78610</v>
      </c>
      <c r="C43" s="18">
        <v>34</v>
      </c>
      <c r="D43" s="19" t="s">
        <v>133</v>
      </c>
      <c r="E43" s="19" t="s">
        <v>15</v>
      </c>
      <c r="F43" s="18">
        <v>5</v>
      </c>
      <c r="G43" s="19" t="s">
        <v>16</v>
      </c>
      <c r="H43" s="19">
        <v>44.88</v>
      </c>
      <c r="I43" s="19">
        <v>40.69</v>
      </c>
      <c r="J43" s="19" t="s">
        <v>432</v>
      </c>
      <c r="K43" s="20">
        <v>82.04</v>
      </c>
      <c r="N43">
        <f t="shared" si="4"/>
        <v>78610</v>
      </c>
      <c r="O43">
        <f>IF(AND(A43&gt;0,A43&lt;999),IFERROR(VLOOKUP(results0117[[#This Row],[Card]],U14M[],1,FALSE),0),0)</f>
        <v>78610</v>
      </c>
      <c r="P43">
        <f t="shared" si="5"/>
        <v>41</v>
      </c>
      <c r="Q43" s="5">
        <f t="shared" si="6"/>
        <v>48</v>
      </c>
      <c r="R43" s="5">
        <f t="shared" si="7"/>
        <v>53</v>
      </c>
    </row>
    <row r="44" spans="1:18" x14ac:dyDescent="0.25">
      <c r="A44" s="14">
        <v>43</v>
      </c>
      <c r="B44" s="14">
        <v>85772</v>
      </c>
      <c r="C44" s="14">
        <v>41</v>
      </c>
      <c r="D44" s="15" t="s">
        <v>196</v>
      </c>
      <c r="E44" s="15" t="s">
        <v>15</v>
      </c>
      <c r="F44" s="14">
        <v>5</v>
      </c>
      <c r="G44" s="15" t="s">
        <v>16</v>
      </c>
      <c r="H44" s="15">
        <v>44.73</v>
      </c>
      <c r="I44" s="15">
        <v>41.36</v>
      </c>
      <c r="J44" s="15" t="s">
        <v>433</v>
      </c>
      <c r="K44" s="16">
        <v>88.49</v>
      </c>
      <c r="N44">
        <f t="shared" si="4"/>
        <v>85772</v>
      </c>
      <c r="O44">
        <f>IF(AND(A44&gt;0,A44&lt;999),IFERROR(VLOOKUP(results0117[[#This Row],[Card]],U14M[],1,FALSE),0),0)</f>
        <v>85772</v>
      </c>
      <c r="P44">
        <f t="shared" si="5"/>
        <v>43</v>
      </c>
      <c r="Q44" s="5">
        <f t="shared" si="6"/>
        <v>45</v>
      </c>
      <c r="R44" s="5">
        <f t="shared" si="7"/>
        <v>61</v>
      </c>
    </row>
    <row r="45" spans="1:18" x14ac:dyDescent="0.25">
      <c r="A45" s="18">
        <v>44</v>
      </c>
      <c r="B45" s="18">
        <v>84752</v>
      </c>
      <c r="C45" s="18">
        <v>22</v>
      </c>
      <c r="D45" s="19" t="s">
        <v>140</v>
      </c>
      <c r="E45" s="19" t="s">
        <v>15</v>
      </c>
      <c r="F45" s="18">
        <v>5</v>
      </c>
      <c r="G45" s="19" t="s">
        <v>16</v>
      </c>
      <c r="H45" s="19">
        <v>45.25</v>
      </c>
      <c r="I45" s="19">
        <v>41.02</v>
      </c>
      <c r="J45" s="19" t="s">
        <v>434</v>
      </c>
      <c r="K45" s="20">
        <v>90.73</v>
      </c>
      <c r="N45">
        <f t="shared" si="4"/>
        <v>84752</v>
      </c>
      <c r="O45">
        <f>IF(AND(A45&gt;0,A45&lt;999),IFERROR(VLOOKUP(results0117[[#This Row],[Card]],U14M[],1,FALSE),0),0)</f>
        <v>84752</v>
      </c>
      <c r="P45">
        <f t="shared" si="5"/>
        <v>44</v>
      </c>
      <c r="Q45" s="5">
        <f t="shared" si="6"/>
        <v>55</v>
      </c>
      <c r="R45" s="5">
        <f t="shared" si="7"/>
        <v>58</v>
      </c>
    </row>
    <row r="46" spans="1:18" x14ac:dyDescent="0.25">
      <c r="A46" s="14">
        <v>45</v>
      </c>
      <c r="B46" s="14">
        <v>77214</v>
      </c>
      <c r="C46" s="14">
        <v>88</v>
      </c>
      <c r="D46" s="15" t="s">
        <v>154</v>
      </c>
      <c r="E46" s="15" t="s">
        <v>155</v>
      </c>
      <c r="F46" s="14">
        <v>5</v>
      </c>
      <c r="G46" s="15" t="s">
        <v>16</v>
      </c>
      <c r="H46" s="15">
        <v>44.81</v>
      </c>
      <c r="I46" s="15">
        <v>41.48</v>
      </c>
      <c r="J46" s="15" t="s">
        <v>435</v>
      </c>
      <c r="K46" s="16">
        <v>90.98</v>
      </c>
      <c r="N46">
        <f t="shared" si="4"/>
        <v>77214</v>
      </c>
      <c r="O46">
        <f>IF(AND(A46&gt;0,A46&lt;999),IFERROR(VLOOKUP(results0117[[#This Row],[Card]],U14M[],1,FALSE),0),0)</f>
        <v>77214</v>
      </c>
      <c r="P46">
        <f t="shared" si="5"/>
        <v>45</v>
      </c>
      <c r="Q46" s="5">
        <f t="shared" si="6"/>
        <v>47</v>
      </c>
      <c r="R46" s="5">
        <f t="shared" si="7"/>
        <v>64</v>
      </c>
    </row>
    <row r="47" spans="1:18" x14ac:dyDescent="0.25">
      <c r="A47" s="18">
        <v>46</v>
      </c>
      <c r="B47" s="18">
        <v>76572</v>
      </c>
      <c r="C47" s="18">
        <v>26</v>
      </c>
      <c r="D47" s="19" t="s">
        <v>109</v>
      </c>
      <c r="E47" s="19" t="s">
        <v>38</v>
      </c>
      <c r="F47" s="18">
        <v>4</v>
      </c>
      <c r="G47" s="19" t="s">
        <v>16</v>
      </c>
      <c r="H47" s="19">
        <v>45.22</v>
      </c>
      <c r="I47" s="19">
        <v>41.12</v>
      </c>
      <c r="J47" s="19" t="s">
        <v>436</v>
      </c>
      <c r="K47" s="20">
        <v>91.6</v>
      </c>
      <c r="N47">
        <f t="shared" si="4"/>
        <v>76572</v>
      </c>
      <c r="O47">
        <f>IF(AND(A47&gt;0,A47&lt;999),IFERROR(VLOOKUP(results0117[[#This Row],[Card]],U14M[],1,FALSE),0),0)</f>
        <v>76572</v>
      </c>
      <c r="P47">
        <f t="shared" si="5"/>
        <v>46</v>
      </c>
      <c r="Q47" s="5">
        <f t="shared" si="6"/>
        <v>54</v>
      </c>
      <c r="R47" s="5">
        <f t="shared" si="7"/>
        <v>60</v>
      </c>
    </row>
    <row r="48" spans="1:18" x14ac:dyDescent="0.25">
      <c r="A48" s="14">
        <v>47</v>
      </c>
      <c r="B48" s="14">
        <v>81481</v>
      </c>
      <c r="C48" s="14">
        <v>60</v>
      </c>
      <c r="D48" s="15" t="s">
        <v>182</v>
      </c>
      <c r="E48" s="15" t="s">
        <v>31</v>
      </c>
      <c r="F48" s="14">
        <v>4</v>
      </c>
      <c r="G48" s="15" t="s">
        <v>16</v>
      </c>
      <c r="H48" s="15">
        <v>45.42</v>
      </c>
      <c r="I48" s="15">
        <v>40.93</v>
      </c>
      <c r="J48" s="15" t="s">
        <v>437</v>
      </c>
      <c r="K48" s="16">
        <v>91.72</v>
      </c>
      <c r="N48">
        <f t="shared" si="4"/>
        <v>81481</v>
      </c>
      <c r="O48">
        <f>IF(AND(A48&gt;0,A48&lt;999),IFERROR(VLOOKUP(results0117[[#This Row],[Card]],U14M[],1,FALSE),0),0)</f>
        <v>81481</v>
      </c>
      <c r="P48">
        <f t="shared" si="5"/>
        <v>47</v>
      </c>
      <c r="Q48" s="5">
        <f t="shared" si="6"/>
        <v>57</v>
      </c>
      <c r="R48" s="5">
        <f t="shared" si="7"/>
        <v>55</v>
      </c>
    </row>
    <row r="49" spans="1:18" x14ac:dyDescent="0.25">
      <c r="A49" s="18">
        <v>48</v>
      </c>
      <c r="B49" s="18">
        <v>78680</v>
      </c>
      <c r="C49" s="18">
        <v>36</v>
      </c>
      <c r="D49" s="19" t="s">
        <v>127</v>
      </c>
      <c r="E49" s="19" t="s">
        <v>22</v>
      </c>
      <c r="F49" s="18">
        <v>5</v>
      </c>
      <c r="G49" s="19" t="s">
        <v>16</v>
      </c>
      <c r="H49" s="19">
        <v>44.53</v>
      </c>
      <c r="I49" s="19">
        <v>41.92</v>
      </c>
      <c r="J49" s="19" t="s">
        <v>438</v>
      </c>
      <c r="K49" s="20">
        <v>92.96</v>
      </c>
      <c r="N49">
        <f t="shared" si="4"/>
        <v>78680</v>
      </c>
      <c r="O49">
        <f>IF(AND(A49&gt;0,A49&lt;999),IFERROR(VLOOKUP(results0117[[#This Row],[Card]],U14M[],1,FALSE),0),0)</f>
        <v>78680</v>
      </c>
      <c r="P49">
        <f t="shared" si="5"/>
        <v>48</v>
      </c>
      <c r="Q49" s="5">
        <f t="shared" si="6"/>
        <v>39</v>
      </c>
      <c r="R49" s="5">
        <f t="shared" si="7"/>
        <v>66</v>
      </c>
    </row>
    <row r="50" spans="1:18" x14ac:dyDescent="0.25">
      <c r="A50" s="14">
        <v>49</v>
      </c>
      <c r="B50" s="14">
        <v>80629</v>
      </c>
      <c r="C50" s="14">
        <v>103</v>
      </c>
      <c r="D50" s="15" t="s">
        <v>144</v>
      </c>
      <c r="E50" s="15" t="s">
        <v>19</v>
      </c>
      <c r="F50" s="14">
        <v>5</v>
      </c>
      <c r="G50" s="15" t="s">
        <v>16</v>
      </c>
      <c r="H50" s="15">
        <v>46.11</v>
      </c>
      <c r="I50" s="15">
        <v>40.42</v>
      </c>
      <c r="J50" s="15" t="s">
        <v>439</v>
      </c>
      <c r="K50" s="16">
        <v>93.95</v>
      </c>
      <c r="N50">
        <f t="shared" si="4"/>
        <v>80629</v>
      </c>
      <c r="O50">
        <f>IF(AND(A50&gt;0,A50&lt;999),IFERROR(VLOOKUP(results0117[[#This Row],[Card]],U14M[],1,FALSE),0),0)</f>
        <v>80629</v>
      </c>
      <c r="P50">
        <f t="shared" si="5"/>
        <v>49</v>
      </c>
      <c r="Q50" s="5">
        <f t="shared" si="6"/>
        <v>68</v>
      </c>
      <c r="R50" s="5">
        <f t="shared" si="7"/>
        <v>47</v>
      </c>
    </row>
    <row r="51" spans="1:18" x14ac:dyDescent="0.25">
      <c r="A51" s="18">
        <v>50</v>
      </c>
      <c r="B51" s="18">
        <v>80724</v>
      </c>
      <c r="C51" s="18">
        <v>53</v>
      </c>
      <c r="D51" s="19" t="s">
        <v>167</v>
      </c>
      <c r="E51" s="19" t="s">
        <v>22</v>
      </c>
      <c r="F51" s="18">
        <v>4</v>
      </c>
      <c r="G51" s="19" t="s">
        <v>16</v>
      </c>
      <c r="H51" s="19">
        <v>45.59</v>
      </c>
      <c r="I51" s="19">
        <v>40.99</v>
      </c>
      <c r="J51" s="19" t="s">
        <v>440</v>
      </c>
      <c r="K51" s="20">
        <v>94.57</v>
      </c>
      <c r="N51">
        <f t="shared" si="4"/>
        <v>80724</v>
      </c>
      <c r="O51">
        <f>IF(AND(A51&gt;0,A51&lt;999),IFERROR(VLOOKUP(results0117[[#This Row],[Card]],U14M[],1,FALSE),0),0)</f>
        <v>80724</v>
      </c>
      <c r="P51">
        <f t="shared" si="5"/>
        <v>50</v>
      </c>
      <c r="Q51" s="5">
        <f t="shared" si="6"/>
        <v>59</v>
      </c>
      <c r="R51" s="5">
        <f t="shared" si="7"/>
        <v>57</v>
      </c>
    </row>
    <row r="52" spans="1:18" x14ac:dyDescent="0.25">
      <c r="A52" s="14">
        <v>51</v>
      </c>
      <c r="B52" s="14">
        <v>81705</v>
      </c>
      <c r="C52" s="14">
        <v>62</v>
      </c>
      <c r="D52" s="15" t="s">
        <v>165</v>
      </c>
      <c r="E52" s="15" t="s">
        <v>31</v>
      </c>
      <c r="F52" s="14">
        <v>4</v>
      </c>
      <c r="G52" s="15" t="s">
        <v>16</v>
      </c>
      <c r="H52" s="15">
        <v>44.76</v>
      </c>
      <c r="I52" s="15">
        <v>42.03</v>
      </c>
      <c r="J52" s="15" t="s">
        <v>231</v>
      </c>
      <c r="K52" s="16">
        <v>97.18</v>
      </c>
      <c r="N52">
        <f t="shared" si="4"/>
        <v>81705</v>
      </c>
      <c r="O52">
        <f>IF(AND(A52&gt;0,A52&lt;999),IFERROR(VLOOKUP(results0117[[#This Row],[Card]],U14M[],1,FALSE),0),0)</f>
        <v>81705</v>
      </c>
      <c r="P52">
        <f t="shared" si="5"/>
        <v>51</v>
      </c>
      <c r="Q52" s="5">
        <f t="shared" si="6"/>
        <v>46</v>
      </c>
      <c r="R52" s="5">
        <f t="shared" si="7"/>
        <v>68</v>
      </c>
    </row>
    <row r="53" spans="1:18" x14ac:dyDescent="0.25">
      <c r="A53" s="18">
        <v>52</v>
      </c>
      <c r="B53" s="18">
        <v>79148</v>
      </c>
      <c r="C53" s="18">
        <v>29</v>
      </c>
      <c r="D53" s="19" t="s">
        <v>191</v>
      </c>
      <c r="E53" s="19" t="s">
        <v>31</v>
      </c>
      <c r="F53" s="18">
        <v>4</v>
      </c>
      <c r="G53" s="19" t="s">
        <v>16</v>
      </c>
      <c r="H53" s="19">
        <v>45.72</v>
      </c>
      <c r="I53" s="19">
        <v>41.1</v>
      </c>
      <c r="J53" s="19" t="s">
        <v>441</v>
      </c>
      <c r="K53" s="20">
        <v>97.55</v>
      </c>
      <c r="N53">
        <f t="shared" si="4"/>
        <v>79148</v>
      </c>
      <c r="O53">
        <f>IF(AND(A53&gt;0,A53&lt;999),IFERROR(VLOOKUP(results0117[[#This Row],[Card]],U14M[],1,FALSE),0),0)</f>
        <v>79148</v>
      </c>
      <c r="P53">
        <f t="shared" si="5"/>
        <v>52</v>
      </c>
      <c r="Q53" s="5">
        <f t="shared" si="6"/>
        <v>62</v>
      </c>
      <c r="R53" s="5">
        <f t="shared" si="7"/>
        <v>59</v>
      </c>
    </row>
    <row r="54" spans="1:18" x14ac:dyDescent="0.25">
      <c r="A54" s="14">
        <v>53</v>
      </c>
      <c r="B54" s="14">
        <v>76864</v>
      </c>
      <c r="C54" s="14">
        <v>92</v>
      </c>
      <c r="D54" s="15" t="s">
        <v>107</v>
      </c>
      <c r="E54" s="15" t="s">
        <v>38</v>
      </c>
      <c r="F54" s="14">
        <v>4</v>
      </c>
      <c r="G54" s="15" t="s">
        <v>16</v>
      </c>
      <c r="H54" s="15">
        <v>45.92</v>
      </c>
      <c r="I54" s="15">
        <v>40.96</v>
      </c>
      <c r="J54" s="15" t="s">
        <v>442</v>
      </c>
      <c r="K54" s="16">
        <v>98.3</v>
      </c>
      <c r="N54">
        <f t="shared" si="4"/>
        <v>76864</v>
      </c>
      <c r="O54">
        <f>IF(AND(A54&gt;0,A54&lt;999),IFERROR(VLOOKUP(results0117[[#This Row],[Card]],U14M[],1,FALSE),0),0)</f>
        <v>76864</v>
      </c>
      <c r="P54">
        <f t="shared" si="5"/>
        <v>53</v>
      </c>
      <c r="Q54" s="5">
        <f t="shared" si="6"/>
        <v>66</v>
      </c>
      <c r="R54" s="5">
        <f t="shared" si="7"/>
        <v>56</v>
      </c>
    </row>
    <row r="55" spans="1:18" x14ac:dyDescent="0.25">
      <c r="A55" s="18">
        <v>54</v>
      </c>
      <c r="B55" s="18">
        <v>81108</v>
      </c>
      <c r="C55" s="18">
        <v>28</v>
      </c>
      <c r="D55" s="19" t="s">
        <v>44</v>
      </c>
      <c r="E55" s="19" t="s">
        <v>22</v>
      </c>
      <c r="F55" s="18">
        <v>5</v>
      </c>
      <c r="G55" s="19" t="s">
        <v>16</v>
      </c>
      <c r="H55" s="19">
        <v>48.97</v>
      </c>
      <c r="I55" s="19">
        <v>37.94</v>
      </c>
      <c r="J55" s="19" t="s">
        <v>443</v>
      </c>
      <c r="K55" s="20">
        <v>98.67</v>
      </c>
      <c r="N55">
        <f t="shared" si="4"/>
        <v>81108</v>
      </c>
      <c r="O55">
        <f>IF(AND(A55&gt;0,A55&lt;999),IFERROR(VLOOKUP(results0117[[#This Row],[Card]],U14M[],1,FALSE),0),0)</f>
        <v>81108</v>
      </c>
      <c r="P55">
        <f t="shared" si="5"/>
        <v>54</v>
      </c>
      <c r="Q55" s="5">
        <f t="shared" si="6"/>
        <v>86</v>
      </c>
      <c r="R55" s="5">
        <f t="shared" si="7"/>
        <v>9</v>
      </c>
    </row>
    <row r="56" spans="1:18" x14ac:dyDescent="0.25">
      <c r="A56" s="14">
        <v>55</v>
      </c>
      <c r="B56" s="14">
        <v>78181</v>
      </c>
      <c r="C56" s="14">
        <v>63</v>
      </c>
      <c r="D56" s="15" t="s">
        <v>138</v>
      </c>
      <c r="E56" s="15" t="s">
        <v>61</v>
      </c>
      <c r="F56" s="14">
        <v>4</v>
      </c>
      <c r="G56" s="15" t="s">
        <v>16</v>
      </c>
      <c r="H56" s="15">
        <v>46.05</v>
      </c>
      <c r="I56" s="15">
        <v>41.43</v>
      </c>
      <c r="J56" s="15" t="s">
        <v>338</v>
      </c>
      <c r="K56" s="16">
        <v>105.74</v>
      </c>
      <c r="N56">
        <f t="shared" si="4"/>
        <v>78181</v>
      </c>
      <c r="O56">
        <f>IF(AND(A56&gt;0,A56&lt;999),IFERROR(VLOOKUP(results0117[[#This Row],[Card]],U14M[],1,FALSE),0),0)</f>
        <v>78181</v>
      </c>
      <c r="P56">
        <f t="shared" si="5"/>
        <v>55</v>
      </c>
      <c r="Q56" s="5">
        <f t="shared" si="6"/>
        <v>67</v>
      </c>
      <c r="R56" s="5">
        <f t="shared" si="7"/>
        <v>63</v>
      </c>
    </row>
    <row r="57" spans="1:18" x14ac:dyDescent="0.25">
      <c r="A57" s="18">
        <v>56</v>
      </c>
      <c r="B57" s="18">
        <v>78164</v>
      </c>
      <c r="C57" s="18">
        <v>52</v>
      </c>
      <c r="D57" s="19" t="s">
        <v>129</v>
      </c>
      <c r="E57" s="19" t="s">
        <v>61</v>
      </c>
      <c r="F57" s="18">
        <v>5</v>
      </c>
      <c r="G57" s="19" t="s">
        <v>16</v>
      </c>
      <c r="H57" s="19">
        <v>45.54</v>
      </c>
      <c r="I57" s="19">
        <v>42.18</v>
      </c>
      <c r="J57" s="19" t="s">
        <v>444</v>
      </c>
      <c r="K57" s="20">
        <v>108.72</v>
      </c>
      <c r="N57">
        <f t="shared" si="4"/>
        <v>78164</v>
      </c>
      <c r="O57">
        <f>IF(AND(A57&gt;0,A57&lt;999),IFERROR(VLOOKUP(results0117[[#This Row],[Card]],U14M[],1,FALSE),0),0)</f>
        <v>78164</v>
      </c>
      <c r="P57">
        <f t="shared" si="5"/>
        <v>56</v>
      </c>
      <c r="Q57" s="5">
        <f t="shared" si="6"/>
        <v>58</v>
      </c>
      <c r="R57" s="5">
        <f t="shared" si="7"/>
        <v>70</v>
      </c>
    </row>
    <row r="58" spans="1:18" x14ac:dyDescent="0.25">
      <c r="A58" s="14">
        <v>57</v>
      </c>
      <c r="B58" s="14">
        <v>80615</v>
      </c>
      <c r="C58" s="14">
        <v>99</v>
      </c>
      <c r="D58" s="15" t="s">
        <v>292</v>
      </c>
      <c r="E58" s="15" t="s">
        <v>19</v>
      </c>
      <c r="F58" s="14">
        <v>4</v>
      </c>
      <c r="G58" s="15" t="s">
        <v>16</v>
      </c>
      <c r="H58" s="15">
        <v>45.82</v>
      </c>
      <c r="I58" s="15">
        <v>42.24</v>
      </c>
      <c r="J58" s="15" t="s">
        <v>445</v>
      </c>
      <c r="K58" s="16">
        <v>112.94</v>
      </c>
      <c r="N58">
        <f t="shared" si="4"/>
        <v>80615</v>
      </c>
      <c r="O58">
        <f>IF(AND(A58&gt;0,A58&lt;999),IFERROR(VLOOKUP(results0117[[#This Row],[Card]],U14M[],1,FALSE),0),0)</f>
        <v>80615</v>
      </c>
      <c r="P58">
        <f t="shared" si="5"/>
        <v>57</v>
      </c>
      <c r="Q58" s="5">
        <f t="shared" si="6"/>
        <v>63</v>
      </c>
      <c r="R58" s="5">
        <f t="shared" si="7"/>
        <v>72</v>
      </c>
    </row>
    <row r="59" spans="1:18" x14ac:dyDescent="0.25">
      <c r="A59" s="18">
        <v>58</v>
      </c>
      <c r="B59" s="18">
        <v>80700</v>
      </c>
      <c r="C59" s="18">
        <v>50</v>
      </c>
      <c r="D59" s="19" t="s">
        <v>192</v>
      </c>
      <c r="E59" s="19" t="s">
        <v>31</v>
      </c>
      <c r="F59" s="18">
        <v>4</v>
      </c>
      <c r="G59" s="19" t="s">
        <v>16</v>
      </c>
      <c r="H59" s="19">
        <v>46.22</v>
      </c>
      <c r="I59" s="19">
        <v>41.98</v>
      </c>
      <c r="J59" s="19" t="s">
        <v>446</v>
      </c>
      <c r="K59" s="20">
        <v>114.68</v>
      </c>
      <c r="N59">
        <f t="shared" si="4"/>
        <v>80700</v>
      </c>
      <c r="O59">
        <f>IF(AND(A59&gt;0,A59&lt;999),IFERROR(VLOOKUP(results0117[[#This Row],[Card]],U14M[],1,FALSE),0),0)</f>
        <v>80700</v>
      </c>
      <c r="P59">
        <f t="shared" si="5"/>
        <v>58</v>
      </c>
      <c r="Q59" s="5">
        <f t="shared" si="6"/>
        <v>71</v>
      </c>
      <c r="R59" s="5">
        <f t="shared" si="7"/>
        <v>67</v>
      </c>
    </row>
    <row r="60" spans="1:18" x14ac:dyDescent="0.25">
      <c r="A60" s="14">
        <v>59</v>
      </c>
      <c r="B60" s="14">
        <v>85454</v>
      </c>
      <c r="C60" s="14">
        <v>48</v>
      </c>
      <c r="D60" s="15" t="s">
        <v>218</v>
      </c>
      <c r="E60" s="15" t="s">
        <v>54</v>
      </c>
      <c r="F60" s="14">
        <v>5</v>
      </c>
      <c r="G60" s="15" t="s">
        <v>16</v>
      </c>
      <c r="H60" s="15">
        <v>46.16</v>
      </c>
      <c r="I60" s="15">
        <v>42.1</v>
      </c>
      <c r="J60" s="15" t="s">
        <v>235</v>
      </c>
      <c r="K60" s="16">
        <v>115.43</v>
      </c>
      <c r="N60">
        <f t="shared" si="4"/>
        <v>85454</v>
      </c>
      <c r="O60">
        <f>IF(AND(A60&gt;0,A60&lt;999),IFERROR(VLOOKUP(results0117[[#This Row],[Card]],U14M[],1,FALSE),0),0)</f>
        <v>85454</v>
      </c>
      <c r="P60">
        <f t="shared" si="5"/>
        <v>59</v>
      </c>
      <c r="Q60" s="5">
        <f t="shared" si="6"/>
        <v>70</v>
      </c>
      <c r="R60" s="5">
        <f t="shared" si="7"/>
        <v>69</v>
      </c>
    </row>
    <row r="61" spans="1:18" x14ac:dyDescent="0.25">
      <c r="A61" s="18">
        <v>60</v>
      </c>
      <c r="B61" s="18">
        <v>78783</v>
      </c>
      <c r="C61" s="18">
        <v>76</v>
      </c>
      <c r="D61" s="19" t="s">
        <v>198</v>
      </c>
      <c r="E61" s="19" t="s">
        <v>47</v>
      </c>
      <c r="F61" s="18">
        <v>5</v>
      </c>
      <c r="G61" s="19" t="s">
        <v>16</v>
      </c>
      <c r="H61" s="19">
        <v>46.14</v>
      </c>
      <c r="I61" s="19">
        <v>42.29</v>
      </c>
      <c r="J61" s="19" t="s">
        <v>447</v>
      </c>
      <c r="K61" s="20">
        <v>117.54</v>
      </c>
      <c r="N61">
        <f t="shared" si="4"/>
        <v>78783</v>
      </c>
      <c r="O61">
        <f>IF(AND(A61&gt;0,A61&lt;999),IFERROR(VLOOKUP(results0117[[#This Row],[Card]],U14M[],1,FALSE),0),0)</f>
        <v>78783</v>
      </c>
      <c r="P61">
        <f t="shared" si="5"/>
        <v>60</v>
      </c>
      <c r="Q61" s="5">
        <f t="shared" si="6"/>
        <v>69</v>
      </c>
      <c r="R61" s="5">
        <f t="shared" si="7"/>
        <v>74</v>
      </c>
    </row>
    <row r="62" spans="1:18" x14ac:dyDescent="0.25">
      <c r="A62" s="14">
        <v>61</v>
      </c>
      <c r="B62" s="14">
        <v>78669</v>
      </c>
      <c r="C62" s="14">
        <v>44</v>
      </c>
      <c r="D62" s="15" t="s">
        <v>116</v>
      </c>
      <c r="E62" s="15" t="s">
        <v>117</v>
      </c>
      <c r="F62" s="14">
        <v>4</v>
      </c>
      <c r="G62" s="15" t="s">
        <v>16</v>
      </c>
      <c r="H62" s="15">
        <v>45.61</v>
      </c>
      <c r="I62" s="15">
        <v>43.27</v>
      </c>
      <c r="J62" s="15" t="s">
        <v>448</v>
      </c>
      <c r="K62" s="16">
        <v>123.12</v>
      </c>
      <c r="N62">
        <f t="shared" si="4"/>
        <v>78669</v>
      </c>
      <c r="O62">
        <f>IF(AND(A62&gt;0,A62&lt;999),IFERROR(VLOOKUP(results0117[[#This Row],[Card]],U14M[],1,FALSE),0),0)</f>
        <v>78669</v>
      </c>
      <c r="P62">
        <f t="shared" si="5"/>
        <v>61</v>
      </c>
      <c r="Q62" s="5">
        <f t="shared" si="6"/>
        <v>60</v>
      </c>
      <c r="R62" s="5">
        <f t="shared" si="7"/>
        <v>80</v>
      </c>
    </row>
    <row r="63" spans="1:18" x14ac:dyDescent="0.25">
      <c r="A63" s="18">
        <v>62</v>
      </c>
      <c r="B63" s="18">
        <v>85566</v>
      </c>
      <c r="C63" s="18">
        <v>16</v>
      </c>
      <c r="D63" s="19" t="s">
        <v>150</v>
      </c>
      <c r="E63" s="19" t="s">
        <v>117</v>
      </c>
      <c r="F63" s="18">
        <v>5</v>
      </c>
      <c r="G63" s="19" t="s">
        <v>16</v>
      </c>
      <c r="H63" s="19">
        <v>45.83</v>
      </c>
      <c r="I63" s="19">
        <v>43.1</v>
      </c>
      <c r="J63" s="19" t="s">
        <v>449</v>
      </c>
      <c r="K63" s="20">
        <v>123.74</v>
      </c>
      <c r="N63">
        <f t="shared" si="4"/>
        <v>85566</v>
      </c>
      <c r="O63">
        <f>IF(AND(A63&gt;0,A63&lt;999),IFERROR(VLOOKUP(results0117[[#This Row],[Card]],U14M[],1,FALSE),0),0)</f>
        <v>85566</v>
      </c>
      <c r="P63">
        <f t="shared" si="5"/>
        <v>62</v>
      </c>
      <c r="Q63" s="5">
        <f t="shared" si="6"/>
        <v>64</v>
      </c>
      <c r="R63" s="5">
        <f t="shared" si="7"/>
        <v>78</v>
      </c>
    </row>
    <row r="64" spans="1:18" x14ac:dyDescent="0.25">
      <c r="A64" s="14">
        <v>63</v>
      </c>
      <c r="B64" s="14">
        <v>80830</v>
      </c>
      <c r="C64" s="14">
        <v>113</v>
      </c>
      <c r="D64" s="15" t="s">
        <v>217</v>
      </c>
      <c r="E64" s="15" t="s">
        <v>54</v>
      </c>
      <c r="F64" s="14">
        <v>5</v>
      </c>
      <c r="G64" s="15" t="s">
        <v>16</v>
      </c>
      <c r="H64" s="15">
        <v>46.97</v>
      </c>
      <c r="I64" s="15">
        <v>42.25</v>
      </c>
      <c r="J64" s="15" t="s">
        <v>450</v>
      </c>
      <c r="K64" s="16">
        <v>127.34</v>
      </c>
      <c r="N64">
        <f t="shared" si="4"/>
        <v>80830</v>
      </c>
      <c r="O64">
        <f>IF(AND(A64&gt;0,A64&lt;999),IFERROR(VLOOKUP(results0117[[#This Row],[Card]],U14M[],1,FALSE),0),0)</f>
        <v>80830</v>
      </c>
      <c r="P64">
        <f t="shared" si="5"/>
        <v>63</v>
      </c>
      <c r="Q64" s="5">
        <f t="shared" si="6"/>
        <v>78</v>
      </c>
      <c r="R64" s="5">
        <f t="shared" si="7"/>
        <v>73</v>
      </c>
    </row>
    <row r="65" spans="1:18" x14ac:dyDescent="0.25">
      <c r="A65" s="18">
        <v>64</v>
      </c>
      <c r="B65" s="18">
        <v>81081</v>
      </c>
      <c r="C65" s="18">
        <v>57</v>
      </c>
      <c r="D65" s="19" t="s">
        <v>330</v>
      </c>
      <c r="E65" s="19" t="s">
        <v>31</v>
      </c>
      <c r="F65" s="18">
        <v>5</v>
      </c>
      <c r="G65" s="19" t="s">
        <v>16</v>
      </c>
      <c r="H65" s="19">
        <v>46.39</v>
      </c>
      <c r="I65" s="19">
        <v>43.04</v>
      </c>
      <c r="J65" s="19" t="s">
        <v>451</v>
      </c>
      <c r="K65" s="20">
        <v>129.94999999999999</v>
      </c>
      <c r="N65">
        <f t="shared" si="4"/>
        <v>81081</v>
      </c>
      <c r="O65">
        <f>IF(AND(A65&gt;0,A65&lt;999),IFERROR(VLOOKUP(results0117[[#This Row],[Card]],U14M[],1,FALSE),0),0)</f>
        <v>81081</v>
      </c>
      <c r="P65">
        <f t="shared" si="5"/>
        <v>64</v>
      </c>
      <c r="Q65" s="5">
        <f t="shared" si="6"/>
        <v>72</v>
      </c>
      <c r="R65" s="5">
        <f t="shared" si="7"/>
        <v>76</v>
      </c>
    </row>
    <row r="66" spans="1:18" x14ac:dyDescent="0.25">
      <c r="A66" s="14">
        <v>65</v>
      </c>
      <c r="B66" s="14">
        <v>85950</v>
      </c>
      <c r="C66" s="14">
        <v>73</v>
      </c>
      <c r="D66" s="15" t="s">
        <v>206</v>
      </c>
      <c r="E66" s="15" t="s">
        <v>31</v>
      </c>
      <c r="F66" s="14">
        <v>4</v>
      </c>
      <c r="G66" s="15" t="s">
        <v>16</v>
      </c>
      <c r="H66" s="15">
        <v>46.85</v>
      </c>
      <c r="I66" s="15">
        <v>42.65</v>
      </c>
      <c r="J66" s="15" t="s">
        <v>452</v>
      </c>
      <c r="K66" s="16">
        <v>130.82</v>
      </c>
      <c r="N66">
        <f t="shared" ref="N66:N97" si="8">B66</f>
        <v>85950</v>
      </c>
      <c r="O66">
        <f>IF(AND(A66&gt;0,A66&lt;999),IFERROR(VLOOKUP(results0117[[#This Row],[Card]],U14M[],1,FALSE),0),0)</f>
        <v>85950</v>
      </c>
      <c r="P66">
        <f t="shared" ref="P66:P97" si="9">A66</f>
        <v>65</v>
      </c>
      <c r="Q66" s="5">
        <f t="shared" ref="Q66:Q97" si="10">IFERROR(_xlfn.RANK.EQ(H66,$H$2:$H$116,1),999)</f>
        <v>76</v>
      </c>
      <c r="R66" s="5">
        <f t="shared" ref="R66:R97" si="11">IFERROR(_xlfn.RANK.EQ(I66,$I$2:$I$116,1),999)</f>
        <v>75</v>
      </c>
    </row>
    <row r="67" spans="1:18" x14ac:dyDescent="0.25">
      <c r="A67" s="18">
        <v>66</v>
      </c>
      <c r="B67" s="18">
        <v>78398</v>
      </c>
      <c r="C67" s="18">
        <v>6</v>
      </c>
      <c r="D67" s="19" t="s">
        <v>156</v>
      </c>
      <c r="E67" s="19" t="s">
        <v>19</v>
      </c>
      <c r="F67" s="18">
        <v>4</v>
      </c>
      <c r="G67" s="19" t="s">
        <v>16</v>
      </c>
      <c r="H67" s="19">
        <v>45.9</v>
      </c>
      <c r="I67" s="19">
        <v>43.77</v>
      </c>
      <c r="J67" s="19" t="s">
        <v>453</v>
      </c>
      <c r="K67" s="20">
        <v>132.93</v>
      </c>
      <c r="N67">
        <f t="shared" si="8"/>
        <v>78398</v>
      </c>
      <c r="O67">
        <f>IF(AND(A67&gt;0,A67&lt;999),IFERROR(VLOOKUP(results0117[[#This Row],[Card]],U14M[],1,FALSE),0),0)</f>
        <v>78398</v>
      </c>
      <c r="P67">
        <f t="shared" si="9"/>
        <v>66</v>
      </c>
      <c r="Q67" s="5">
        <f t="shared" si="10"/>
        <v>65</v>
      </c>
      <c r="R67" s="5">
        <f t="shared" si="11"/>
        <v>84</v>
      </c>
    </row>
    <row r="68" spans="1:18" x14ac:dyDescent="0.25">
      <c r="A68" s="14">
        <v>67</v>
      </c>
      <c r="B68" s="14">
        <v>84722</v>
      </c>
      <c r="C68" s="14">
        <v>4</v>
      </c>
      <c r="D68" s="15" t="s">
        <v>169</v>
      </c>
      <c r="E68" s="15" t="s">
        <v>61</v>
      </c>
      <c r="F68" s="14">
        <v>4</v>
      </c>
      <c r="G68" s="15" t="s">
        <v>16</v>
      </c>
      <c r="H68" s="15">
        <v>46.82</v>
      </c>
      <c r="I68" s="15">
        <v>43.61</v>
      </c>
      <c r="J68" s="15" t="s">
        <v>454</v>
      </c>
      <c r="K68" s="16">
        <v>142.36000000000001</v>
      </c>
      <c r="N68">
        <f t="shared" si="8"/>
        <v>84722</v>
      </c>
      <c r="O68">
        <f>IF(AND(A68&gt;0,A68&lt;999),IFERROR(VLOOKUP(results0117[[#This Row],[Card]],U14M[],1,FALSE),0),0)</f>
        <v>84722</v>
      </c>
      <c r="P68">
        <f t="shared" si="9"/>
        <v>67</v>
      </c>
      <c r="Q68" s="5">
        <f t="shared" si="10"/>
        <v>75</v>
      </c>
      <c r="R68" s="5">
        <f t="shared" si="11"/>
        <v>82</v>
      </c>
    </row>
    <row r="69" spans="1:18" x14ac:dyDescent="0.25">
      <c r="A69" s="18">
        <v>68</v>
      </c>
      <c r="B69" s="18">
        <v>80835</v>
      </c>
      <c r="C69" s="18">
        <v>102</v>
      </c>
      <c r="D69" s="19" t="s">
        <v>302</v>
      </c>
      <c r="E69" s="19" t="s">
        <v>54</v>
      </c>
      <c r="F69" s="18">
        <v>5</v>
      </c>
      <c r="G69" s="19" t="s">
        <v>16</v>
      </c>
      <c r="H69" s="19">
        <v>46.71</v>
      </c>
      <c r="I69" s="19">
        <v>43.74</v>
      </c>
      <c r="J69" s="19" t="s">
        <v>455</v>
      </c>
      <c r="K69" s="20">
        <v>142.61000000000001</v>
      </c>
      <c r="N69">
        <f t="shared" si="8"/>
        <v>80835</v>
      </c>
      <c r="O69">
        <f>IF(AND(A69&gt;0,A69&lt;999),IFERROR(VLOOKUP(results0117[[#This Row],[Card]],U14M[],1,FALSE),0),0)</f>
        <v>80835</v>
      </c>
      <c r="P69">
        <f t="shared" si="9"/>
        <v>68</v>
      </c>
      <c r="Q69" s="5">
        <f t="shared" si="10"/>
        <v>74</v>
      </c>
      <c r="R69" s="5">
        <f t="shared" si="11"/>
        <v>83</v>
      </c>
    </row>
    <row r="70" spans="1:18" x14ac:dyDescent="0.25">
      <c r="A70" s="14">
        <v>69</v>
      </c>
      <c r="B70" s="14">
        <v>81505</v>
      </c>
      <c r="C70" s="14">
        <v>71</v>
      </c>
      <c r="D70" s="15" t="s">
        <v>315</v>
      </c>
      <c r="E70" s="15" t="s">
        <v>22</v>
      </c>
      <c r="F70" s="14">
        <v>5</v>
      </c>
      <c r="G70" s="15" t="s">
        <v>16</v>
      </c>
      <c r="H70" s="15">
        <v>47.75</v>
      </c>
      <c r="I70" s="15">
        <v>43.07</v>
      </c>
      <c r="J70" s="15" t="s">
        <v>250</v>
      </c>
      <c r="K70" s="16">
        <v>147.19999999999999</v>
      </c>
      <c r="N70">
        <f t="shared" si="8"/>
        <v>81505</v>
      </c>
      <c r="O70">
        <f>IF(AND(A70&gt;0,A70&lt;999),IFERROR(VLOOKUP(results0117[[#This Row],[Card]],U14M[],1,FALSE),0),0)</f>
        <v>81505</v>
      </c>
      <c r="P70">
        <f t="shared" si="9"/>
        <v>69</v>
      </c>
      <c r="Q70" s="5">
        <f t="shared" si="10"/>
        <v>81</v>
      </c>
      <c r="R70" s="5">
        <f t="shared" si="11"/>
        <v>77</v>
      </c>
    </row>
    <row r="71" spans="1:18" x14ac:dyDescent="0.25">
      <c r="A71" s="18">
        <v>70</v>
      </c>
      <c r="B71" s="18">
        <v>80630</v>
      </c>
      <c r="C71" s="18">
        <v>32</v>
      </c>
      <c r="D71" s="19" t="s">
        <v>188</v>
      </c>
      <c r="E71" s="19" t="s">
        <v>19</v>
      </c>
      <c r="F71" s="18">
        <v>4</v>
      </c>
      <c r="G71" s="19" t="s">
        <v>16</v>
      </c>
      <c r="H71" s="19">
        <v>47.25</v>
      </c>
      <c r="I71" s="19">
        <v>43.86</v>
      </c>
      <c r="J71" s="19" t="s">
        <v>456</v>
      </c>
      <c r="K71" s="20">
        <v>150.80000000000001</v>
      </c>
      <c r="N71">
        <f t="shared" si="8"/>
        <v>80630</v>
      </c>
      <c r="O71">
        <f>IF(AND(A71&gt;0,A71&lt;999),IFERROR(VLOOKUP(results0117[[#This Row],[Card]],U14M[],1,FALSE),0),0)</f>
        <v>80630</v>
      </c>
      <c r="P71">
        <f t="shared" si="9"/>
        <v>70</v>
      </c>
      <c r="Q71" s="5">
        <f t="shared" si="10"/>
        <v>79</v>
      </c>
      <c r="R71" s="5">
        <f t="shared" si="11"/>
        <v>85</v>
      </c>
    </row>
    <row r="72" spans="1:18" x14ac:dyDescent="0.25">
      <c r="A72" s="14">
        <v>71</v>
      </c>
      <c r="B72" s="14">
        <v>82442</v>
      </c>
      <c r="C72" s="14">
        <v>2</v>
      </c>
      <c r="D72" s="15" t="s">
        <v>204</v>
      </c>
      <c r="E72" s="15" t="s">
        <v>42</v>
      </c>
      <c r="F72" s="14">
        <v>5</v>
      </c>
      <c r="G72" s="15" t="s">
        <v>16</v>
      </c>
      <c r="H72" s="15">
        <v>49.25</v>
      </c>
      <c r="I72" s="15">
        <v>43.15</v>
      </c>
      <c r="J72" s="15" t="s">
        <v>457</v>
      </c>
      <c r="K72" s="16">
        <v>166.81</v>
      </c>
      <c r="N72">
        <f t="shared" si="8"/>
        <v>82442</v>
      </c>
      <c r="O72">
        <f>IF(AND(A72&gt;0,A72&lt;999),IFERROR(VLOOKUP(results0117[[#This Row],[Card]],U14M[],1,FALSE),0),0)</f>
        <v>82442</v>
      </c>
      <c r="P72">
        <f t="shared" si="9"/>
        <v>71</v>
      </c>
      <c r="Q72" s="5">
        <f t="shared" si="10"/>
        <v>88</v>
      </c>
      <c r="R72" s="5">
        <f t="shared" si="11"/>
        <v>79</v>
      </c>
    </row>
    <row r="73" spans="1:18" x14ac:dyDescent="0.25">
      <c r="A73" s="18">
        <v>72</v>
      </c>
      <c r="B73" s="18">
        <v>80701</v>
      </c>
      <c r="C73" s="18">
        <v>33</v>
      </c>
      <c r="D73" s="19" t="s">
        <v>216</v>
      </c>
      <c r="E73" s="19" t="s">
        <v>31</v>
      </c>
      <c r="F73" s="18">
        <v>5</v>
      </c>
      <c r="G73" s="19" t="s">
        <v>16</v>
      </c>
      <c r="H73" s="19">
        <v>48.25</v>
      </c>
      <c r="I73" s="19">
        <v>44.25</v>
      </c>
      <c r="J73" s="19" t="s">
        <v>458</v>
      </c>
      <c r="K73" s="20">
        <v>168.05</v>
      </c>
      <c r="N73">
        <f t="shared" si="8"/>
        <v>80701</v>
      </c>
      <c r="O73">
        <f>IF(AND(A73&gt;0,A73&lt;999),IFERROR(VLOOKUP(results0117[[#This Row],[Card]],U14M[],1,FALSE),0),0)</f>
        <v>80701</v>
      </c>
      <c r="P73">
        <f t="shared" si="9"/>
        <v>72</v>
      </c>
      <c r="Q73" s="5">
        <f t="shared" si="10"/>
        <v>82</v>
      </c>
      <c r="R73" s="5">
        <f t="shared" si="11"/>
        <v>88</v>
      </c>
    </row>
    <row r="74" spans="1:18" x14ac:dyDescent="0.25">
      <c r="A74" s="14">
        <v>73</v>
      </c>
      <c r="B74" s="14">
        <v>80662</v>
      </c>
      <c r="C74" s="14">
        <v>10</v>
      </c>
      <c r="D74" s="15" t="s">
        <v>158</v>
      </c>
      <c r="E74" s="15" t="s">
        <v>61</v>
      </c>
      <c r="F74" s="14">
        <v>4</v>
      </c>
      <c r="G74" s="15" t="s">
        <v>16</v>
      </c>
      <c r="H74" s="15">
        <v>48.6</v>
      </c>
      <c r="I74" s="15">
        <v>43.93</v>
      </c>
      <c r="J74" s="15" t="s">
        <v>459</v>
      </c>
      <c r="K74" s="16">
        <v>168.42</v>
      </c>
      <c r="N74">
        <f t="shared" si="8"/>
        <v>80662</v>
      </c>
      <c r="O74">
        <f>IF(AND(A74&gt;0,A74&lt;999),IFERROR(VLOOKUP(results0117[[#This Row],[Card]],U14M[],1,FALSE),0),0)</f>
        <v>80662</v>
      </c>
      <c r="P74">
        <f t="shared" si="9"/>
        <v>73</v>
      </c>
      <c r="Q74" s="5">
        <f t="shared" si="10"/>
        <v>84</v>
      </c>
      <c r="R74" s="5">
        <f t="shared" si="11"/>
        <v>87</v>
      </c>
    </row>
    <row r="75" spans="1:18" x14ac:dyDescent="0.25">
      <c r="A75" s="18">
        <v>74</v>
      </c>
      <c r="B75" s="18">
        <v>86207</v>
      </c>
      <c r="C75" s="18">
        <v>111</v>
      </c>
      <c r="D75" s="19" t="s">
        <v>294</v>
      </c>
      <c r="E75" s="19" t="s">
        <v>54</v>
      </c>
      <c r="F75" s="18">
        <v>5</v>
      </c>
      <c r="G75" s="19" t="s">
        <v>16</v>
      </c>
      <c r="H75" s="19">
        <v>48.77</v>
      </c>
      <c r="I75" s="19">
        <v>44.26</v>
      </c>
      <c r="J75" s="19" t="s">
        <v>460</v>
      </c>
      <c r="K75" s="20">
        <v>174.63</v>
      </c>
      <c r="N75">
        <f t="shared" si="8"/>
        <v>86207</v>
      </c>
      <c r="O75">
        <f>IF(AND(A75&gt;0,A75&lt;999),IFERROR(VLOOKUP(results0117[[#This Row],[Card]],U14M[],1,FALSE),0),0)</f>
        <v>86207</v>
      </c>
      <c r="P75">
        <f t="shared" si="9"/>
        <v>74</v>
      </c>
      <c r="Q75" s="5">
        <f t="shared" si="10"/>
        <v>85</v>
      </c>
      <c r="R75" s="5">
        <f t="shared" si="11"/>
        <v>89</v>
      </c>
    </row>
    <row r="76" spans="1:18" x14ac:dyDescent="0.25">
      <c r="A76" s="14">
        <v>75</v>
      </c>
      <c r="B76" s="14">
        <v>86128</v>
      </c>
      <c r="C76" s="14">
        <v>42</v>
      </c>
      <c r="D76" s="15" t="s">
        <v>461</v>
      </c>
      <c r="E76" s="15" t="s">
        <v>61</v>
      </c>
      <c r="F76" s="14">
        <v>5</v>
      </c>
      <c r="G76" s="15" t="s">
        <v>16</v>
      </c>
      <c r="H76" s="15">
        <v>49.29</v>
      </c>
      <c r="I76" s="15">
        <v>43.9</v>
      </c>
      <c r="J76" s="15" t="s">
        <v>462</v>
      </c>
      <c r="K76" s="16">
        <v>176.61</v>
      </c>
      <c r="N76">
        <f t="shared" si="8"/>
        <v>86128</v>
      </c>
      <c r="O76">
        <f>IF(AND(A76&gt;0,A76&lt;999),IFERROR(VLOOKUP(results0117[[#This Row],[Card]],U14M[],1,FALSE),0),0)</f>
        <v>86128</v>
      </c>
      <c r="P76">
        <f t="shared" si="9"/>
        <v>75</v>
      </c>
      <c r="Q76" s="5">
        <f t="shared" si="10"/>
        <v>89</v>
      </c>
      <c r="R76" s="5">
        <f t="shared" si="11"/>
        <v>86</v>
      </c>
    </row>
    <row r="77" spans="1:18" x14ac:dyDescent="0.25">
      <c r="A77" s="18">
        <v>76</v>
      </c>
      <c r="B77" s="18">
        <v>87853</v>
      </c>
      <c r="C77" s="18">
        <v>47</v>
      </c>
      <c r="D77" s="19" t="s">
        <v>463</v>
      </c>
      <c r="E77" s="19" t="s">
        <v>117</v>
      </c>
      <c r="F77" s="18">
        <v>5</v>
      </c>
      <c r="G77" s="19" t="s">
        <v>16</v>
      </c>
      <c r="H77" s="19">
        <v>49.98</v>
      </c>
      <c r="I77" s="19">
        <v>43.39</v>
      </c>
      <c r="J77" s="19" t="s">
        <v>464</v>
      </c>
      <c r="K77" s="20">
        <v>178.85</v>
      </c>
      <c r="N77">
        <f t="shared" si="8"/>
        <v>87853</v>
      </c>
      <c r="O77">
        <f>IF(AND(A77&gt;0,A77&lt;999),IFERROR(VLOOKUP(results0117[[#This Row],[Card]],U14M[],1,FALSE),0),0)</f>
        <v>87853</v>
      </c>
      <c r="P77">
        <f t="shared" si="9"/>
        <v>76</v>
      </c>
      <c r="Q77" s="5">
        <f t="shared" si="10"/>
        <v>90</v>
      </c>
      <c r="R77" s="5">
        <f t="shared" si="11"/>
        <v>81</v>
      </c>
    </row>
    <row r="78" spans="1:18" x14ac:dyDescent="0.25">
      <c r="A78" s="14">
        <v>77</v>
      </c>
      <c r="B78" s="14">
        <v>80807</v>
      </c>
      <c r="C78" s="14">
        <v>20</v>
      </c>
      <c r="D78" s="15" t="s">
        <v>298</v>
      </c>
      <c r="E78" s="15" t="s">
        <v>54</v>
      </c>
      <c r="F78" s="14">
        <v>5</v>
      </c>
      <c r="G78" s="15" t="s">
        <v>16</v>
      </c>
      <c r="H78" s="15">
        <v>50.23</v>
      </c>
      <c r="I78" s="15">
        <v>44.31</v>
      </c>
      <c r="J78" s="15" t="s">
        <v>465</v>
      </c>
      <c r="K78" s="16">
        <v>193.37</v>
      </c>
      <c r="N78">
        <f t="shared" si="8"/>
        <v>80807</v>
      </c>
      <c r="O78">
        <f>IF(AND(A78&gt;0,A78&lt;999),IFERROR(VLOOKUP(results0117[[#This Row],[Card]],U14M[],1,FALSE),0),0)</f>
        <v>80807</v>
      </c>
      <c r="P78">
        <f t="shared" si="9"/>
        <v>77</v>
      </c>
      <c r="Q78" s="5">
        <f t="shared" si="10"/>
        <v>91</v>
      </c>
      <c r="R78" s="5">
        <f t="shared" si="11"/>
        <v>90</v>
      </c>
    </row>
    <row r="79" spans="1:18" x14ac:dyDescent="0.25">
      <c r="A79" s="18">
        <v>78</v>
      </c>
      <c r="B79" s="18">
        <v>81801</v>
      </c>
      <c r="C79" s="18">
        <v>40</v>
      </c>
      <c r="D79" s="19" t="s">
        <v>208</v>
      </c>
      <c r="E79" s="19" t="s">
        <v>61</v>
      </c>
      <c r="F79" s="18">
        <v>5</v>
      </c>
      <c r="G79" s="19" t="s">
        <v>16</v>
      </c>
      <c r="H79" s="19">
        <v>50.59</v>
      </c>
      <c r="I79" s="19">
        <v>47.59</v>
      </c>
      <c r="J79" s="19" t="s">
        <v>466</v>
      </c>
      <c r="K79" s="20">
        <v>238.55</v>
      </c>
      <c r="N79">
        <f t="shared" si="8"/>
        <v>81801</v>
      </c>
      <c r="O79">
        <f>IF(AND(A79&gt;0,A79&lt;999),IFERROR(VLOOKUP(results0117[[#This Row],[Card]],U14M[],1,FALSE),0),0)</f>
        <v>81801</v>
      </c>
      <c r="P79">
        <f t="shared" si="9"/>
        <v>78</v>
      </c>
      <c r="Q79" s="5">
        <f t="shared" si="10"/>
        <v>92</v>
      </c>
      <c r="R79" s="5">
        <f t="shared" si="11"/>
        <v>91</v>
      </c>
    </row>
    <row r="80" spans="1:18" x14ac:dyDescent="0.25">
      <c r="A80" s="14">
        <v>79</v>
      </c>
      <c r="B80" s="14">
        <v>84868</v>
      </c>
      <c r="C80" s="14">
        <v>114</v>
      </c>
      <c r="D80" s="15" t="s">
        <v>312</v>
      </c>
      <c r="E80" s="15" t="s">
        <v>54</v>
      </c>
      <c r="F80" s="14">
        <v>5</v>
      </c>
      <c r="G80" s="15" t="s">
        <v>16</v>
      </c>
      <c r="H80" s="15">
        <v>49.23</v>
      </c>
      <c r="I80" s="15">
        <v>49.02</v>
      </c>
      <c r="J80" s="15" t="s">
        <v>467</v>
      </c>
      <c r="K80" s="16">
        <v>239.41</v>
      </c>
      <c r="N80">
        <f t="shared" si="8"/>
        <v>84868</v>
      </c>
      <c r="O80">
        <f>IF(AND(A80&gt;0,A80&lt;999),IFERROR(VLOOKUP(results0117[[#This Row],[Card]],U14M[],1,FALSE),0),0)</f>
        <v>84868</v>
      </c>
      <c r="P80">
        <f t="shared" si="9"/>
        <v>79</v>
      </c>
      <c r="Q80" s="5">
        <f t="shared" si="10"/>
        <v>87</v>
      </c>
      <c r="R80" s="5">
        <f t="shared" si="11"/>
        <v>92</v>
      </c>
    </row>
    <row r="81" spans="1:18" x14ac:dyDescent="0.25">
      <c r="A81" s="18">
        <v>80</v>
      </c>
      <c r="B81" s="18">
        <v>78414</v>
      </c>
      <c r="C81" s="18">
        <v>64</v>
      </c>
      <c r="D81" s="19" t="s">
        <v>202</v>
      </c>
      <c r="E81" s="19" t="s">
        <v>155</v>
      </c>
      <c r="F81" s="18">
        <v>4</v>
      </c>
      <c r="G81" s="19" t="s">
        <v>16</v>
      </c>
      <c r="H81" s="19">
        <v>52.19</v>
      </c>
      <c r="I81" s="19">
        <v>51.58</v>
      </c>
      <c r="J81" s="19" t="s">
        <v>468</v>
      </c>
      <c r="K81" s="20">
        <v>307.93</v>
      </c>
      <c r="N81">
        <f t="shared" si="8"/>
        <v>78414</v>
      </c>
      <c r="O81">
        <f>IF(AND(A81&gt;0,A81&lt;999),IFERROR(VLOOKUP(results0117[[#This Row],[Card]],U14M[],1,FALSE),0),0)</f>
        <v>78414</v>
      </c>
      <c r="P81">
        <f t="shared" si="9"/>
        <v>80</v>
      </c>
      <c r="Q81" s="5">
        <f t="shared" si="10"/>
        <v>94</v>
      </c>
      <c r="R81" s="5">
        <f t="shared" si="11"/>
        <v>93</v>
      </c>
    </row>
    <row r="82" spans="1:18" x14ac:dyDescent="0.25">
      <c r="A82" s="14">
        <v>999</v>
      </c>
      <c r="B82" s="14">
        <v>81459</v>
      </c>
      <c r="C82" s="14">
        <v>38</v>
      </c>
      <c r="D82" s="15" t="s">
        <v>225</v>
      </c>
      <c r="E82" s="15" t="s">
        <v>101</v>
      </c>
      <c r="F82" s="14">
        <v>5</v>
      </c>
      <c r="G82" s="15" t="s">
        <v>16</v>
      </c>
      <c r="H82" s="15" t="s">
        <v>215</v>
      </c>
      <c r="I82" s="15" t="s">
        <v>215</v>
      </c>
      <c r="J82" s="15"/>
      <c r="K82" s="16">
        <v>0</v>
      </c>
      <c r="N82">
        <f t="shared" si="8"/>
        <v>81459</v>
      </c>
      <c r="O82">
        <f>IF(AND(A82&gt;0,A82&lt;999),IFERROR(VLOOKUP(results0117[[#This Row],[Card]],U14M[],1,FALSE),0),0)</f>
        <v>0</v>
      </c>
      <c r="P82">
        <f t="shared" si="9"/>
        <v>999</v>
      </c>
      <c r="Q82" s="5">
        <f t="shared" si="10"/>
        <v>999</v>
      </c>
      <c r="R82" s="5">
        <f t="shared" si="11"/>
        <v>999</v>
      </c>
    </row>
    <row r="83" spans="1:18" x14ac:dyDescent="0.25">
      <c r="A83" s="18">
        <v>999</v>
      </c>
      <c r="B83" s="18">
        <v>81810</v>
      </c>
      <c r="C83" s="18">
        <v>45</v>
      </c>
      <c r="D83" s="19" t="s">
        <v>329</v>
      </c>
      <c r="E83" s="19" t="s">
        <v>54</v>
      </c>
      <c r="F83" s="18">
        <v>4</v>
      </c>
      <c r="G83" s="19" t="s">
        <v>16</v>
      </c>
      <c r="H83" s="19" t="s">
        <v>215</v>
      </c>
      <c r="I83" s="19" t="s">
        <v>215</v>
      </c>
      <c r="J83" s="19"/>
      <c r="K83" s="20">
        <v>0</v>
      </c>
      <c r="N83">
        <f t="shared" si="8"/>
        <v>81810</v>
      </c>
      <c r="O83">
        <f>IF(AND(A83&gt;0,A83&lt;999),IFERROR(VLOOKUP(results0117[[#This Row],[Card]],U14M[],1,FALSE),0),0)</f>
        <v>0</v>
      </c>
      <c r="P83">
        <f t="shared" si="9"/>
        <v>999</v>
      </c>
      <c r="Q83" s="5">
        <f t="shared" si="10"/>
        <v>999</v>
      </c>
      <c r="R83" s="5">
        <f t="shared" si="11"/>
        <v>999</v>
      </c>
    </row>
    <row r="84" spans="1:18" x14ac:dyDescent="0.25">
      <c r="A84" s="14">
        <v>999</v>
      </c>
      <c r="B84" s="14">
        <v>81142</v>
      </c>
      <c r="C84" s="14">
        <v>61</v>
      </c>
      <c r="D84" s="15" t="s">
        <v>469</v>
      </c>
      <c r="E84" s="15" t="s">
        <v>38</v>
      </c>
      <c r="F84" s="14">
        <v>4</v>
      </c>
      <c r="G84" s="15" t="s">
        <v>16</v>
      </c>
      <c r="H84" s="15" t="s">
        <v>215</v>
      </c>
      <c r="I84" s="15" t="s">
        <v>215</v>
      </c>
      <c r="J84" s="15"/>
      <c r="K84" s="16">
        <v>0</v>
      </c>
      <c r="N84">
        <f t="shared" si="8"/>
        <v>81142</v>
      </c>
      <c r="O84">
        <f>IF(AND(A84&gt;0,A84&lt;999),IFERROR(VLOOKUP(results0117[[#This Row],[Card]],U14M[],1,FALSE),0),0)</f>
        <v>0</v>
      </c>
      <c r="P84">
        <f t="shared" si="9"/>
        <v>999</v>
      </c>
      <c r="Q84" s="5">
        <f t="shared" si="10"/>
        <v>999</v>
      </c>
      <c r="R84" s="5">
        <f t="shared" si="11"/>
        <v>999</v>
      </c>
    </row>
    <row r="85" spans="1:18" x14ac:dyDescent="0.25">
      <c r="A85" s="18">
        <v>999</v>
      </c>
      <c r="B85" s="18">
        <v>81781</v>
      </c>
      <c r="C85" s="18">
        <v>66</v>
      </c>
      <c r="D85" s="19" t="s">
        <v>200</v>
      </c>
      <c r="E85" s="19" t="s">
        <v>38</v>
      </c>
      <c r="F85" s="18">
        <v>5</v>
      </c>
      <c r="G85" s="19" t="s">
        <v>16</v>
      </c>
      <c r="H85" s="19" t="s">
        <v>215</v>
      </c>
      <c r="I85" s="19" t="s">
        <v>215</v>
      </c>
      <c r="J85" s="19"/>
      <c r="K85" s="20">
        <v>0</v>
      </c>
      <c r="N85">
        <f t="shared" si="8"/>
        <v>81781</v>
      </c>
      <c r="O85">
        <f>IF(AND(A85&gt;0,A85&lt;999),IFERROR(VLOOKUP(results0117[[#This Row],[Card]],U14M[],1,FALSE),0),0)</f>
        <v>0</v>
      </c>
      <c r="P85">
        <f t="shared" si="9"/>
        <v>999</v>
      </c>
      <c r="Q85" s="5">
        <f t="shared" si="10"/>
        <v>999</v>
      </c>
      <c r="R85" s="5">
        <f t="shared" si="11"/>
        <v>999</v>
      </c>
    </row>
    <row r="86" spans="1:18" x14ac:dyDescent="0.25">
      <c r="A86" s="14">
        <v>999</v>
      </c>
      <c r="B86" s="14">
        <v>87073</v>
      </c>
      <c r="C86" s="14">
        <v>67</v>
      </c>
      <c r="D86" s="15" t="s">
        <v>470</v>
      </c>
      <c r="E86" s="15" t="s">
        <v>47</v>
      </c>
      <c r="F86" s="14">
        <v>5</v>
      </c>
      <c r="G86" s="15" t="s">
        <v>16</v>
      </c>
      <c r="H86" s="15" t="s">
        <v>215</v>
      </c>
      <c r="I86" s="15" t="s">
        <v>215</v>
      </c>
      <c r="J86" s="15"/>
      <c r="K86" s="16">
        <v>0</v>
      </c>
      <c r="N86">
        <f t="shared" si="8"/>
        <v>87073</v>
      </c>
      <c r="O86">
        <f>IF(AND(A86&gt;0,A86&lt;999),IFERROR(VLOOKUP(results0117[[#This Row],[Card]],U14M[],1,FALSE),0),0)</f>
        <v>0</v>
      </c>
      <c r="P86">
        <f t="shared" si="9"/>
        <v>999</v>
      </c>
      <c r="Q86" s="5">
        <f t="shared" si="10"/>
        <v>999</v>
      </c>
      <c r="R86" s="5">
        <f t="shared" si="11"/>
        <v>999</v>
      </c>
    </row>
    <row r="87" spans="1:18" x14ac:dyDescent="0.25">
      <c r="A87" s="18">
        <v>999</v>
      </c>
      <c r="B87" s="18">
        <v>81740</v>
      </c>
      <c r="C87" s="18">
        <v>110</v>
      </c>
      <c r="D87" s="19" t="s">
        <v>160</v>
      </c>
      <c r="E87" s="19" t="s">
        <v>31</v>
      </c>
      <c r="F87" s="18">
        <v>4</v>
      </c>
      <c r="G87" s="19" t="s">
        <v>16</v>
      </c>
      <c r="H87" s="19" t="s">
        <v>215</v>
      </c>
      <c r="I87" s="19" t="s">
        <v>215</v>
      </c>
      <c r="J87" s="19"/>
      <c r="K87" s="20">
        <v>0</v>
      </c>
      <c r="N87">
        <f t="shared" si="8"/>
        <v>81740</v>
      </c>
      <c r="O87">
        <f>IF(AND(A87&gt;0,A87&lt;999),IFERROR(VLOOKUP(results0117[[#This Row],[Card]],U14M[],1,FALSE),0),0)</f>
        <v>0</v>
      </c>
      <c r="P87">
        <f t="shared" si="9"/>
        <v>999</v>
      </c>
      <c r="Q87" s="5">
        <f t="shared" si="10"/>
        <v>999</v>
      </c>
      <c r="R87" s="5">
        <f t="shared" si="11"/>
        <v>999</v>
      </c>
    </row>
    <row r="88" spans="1:18" x14ac:dyDescent="0.25">
      <c r="A88" s="14">
        <v>999</v>
      </c>
      <c r="B88" s="14">
        <v>85235</v>
      </c>
      <c r="C88" s="14">
        <v>31</v>
      </c>
      <c r="D88" s="15" t="s">
        <v>46</v>
      </c>
      <c r="E88" s="15" t="s">
        <v>47</v>
      </c>
      <c r="F88" s="14">
        <v>4</v>
      </c>
      <c r="G88" s="15" t="s">
        <v>16</v>
      </c>
      <c r="H88" s="15" t="s">
        <v>220</v>
      </c>
      <c r="I88" s="15">
        <v>38.85</v>
      </c>
      <c r="J88" s="15"/>
      <c r="K88" s="16">
        <v>0</v>
      </c>
      <c r="N88">
        <f t="shared" si="8"/>
        <v>85235</v>
      </c>
      <c r="O88">
        <f>IF(AND(A88&gt;0,A88&lt;999),IFERROR(VLOOKUP(results0117[[#This Row],[Card]],U14M[],1,FALSE),0),0)</f>
        <v>0</v>
      </c>
      <c r="P88">
        <f t="shared" si="9"/>
        <v>999</v>
      </c>
      <c r="Q88" s="5">
        <f t="shared" si="10"/>
        <v>999</v>
      </c>
      <c r="R88" s="5">
        <f t="shared" si="11"/>
        <v>26</v>
      </c>
    </row>
    <row r="89" spans="1:18" x14ac:dyDescent="0.25">
      <c r="A89" s="18">
        <v>999</v>
      </c>
      <c r="B89" s="18">
        <v>78619</v>
      </c>
      <c r="C89" s="18">
        <v>43</v>
      </c>
      <c r="D89" s="19" t="s">
        <v>121</v>
      </c>
      <c r="E89" s="19" t="s">
        <v>61</v>
      </c>
      <c r="F89" s="18">
        <v>4</v>
      </c>
      <c r="G89" s="19" t="s">
        <v>16</v>
      </c>
      <c r="H89" s="19" t="s">
        <v>220</v>
      </c>
      <c r="I89" s="19">
        <v>40.229999999999997</v>
      </c>
      <c r="J89" s="19"/>
      <c r="K89" s="20">
        <v>0</v>
      </c>
      <c r="N89">
        <f t="shared" si="8"/>
        <v>78619</v>
      </c>
      <c r="O89">
        <f>IF(AND(A89&gt;0,A89&lt;999),IFERROR(VLOOKUP(results0117[[#This Row],[Card]],U14M[],1,FALSE),0),0)</f>
        <v>0</v>
      </c>
      <c r="P89">
        <f t="shared" si="9"/>
        <v>999</v>
      </c>
      <c r="Q89" s="5">
        <f t="shared" si="10"/>
        <v>999</v>
      </c>
      <c r="R89" s="5">
        <f t="shared" si="11"/>
        <v>44</v>
      </c>
    </row>
    <row r="90" spans="1:18" x14ac:dyDescent="0.25">
      <c r="A90" s="14">
        <v>999</v>
      </c>
      <c r="B90" s="14">
        <v>89505</v>
      </c>
      <c r="C90" s="14">
        <v>55</v>
      </c>
      <c r="D90" s="15" t="s">
        <v>387</v>
      </c>
      <c r="E90" s="15" t="s">
        <v>388</v>
      </c>
      <c r="F90" s="14">
        <v>5</v>
      </c>
      <c r="G90" s="15" t="s">
        <v>16</v>
      </c>
      <c r="H90" s="15" t="s">
        <v>220</v>
      </c>
      <c r="I90" s="15">
        <v>41.5</v>
      </c>
      <c r="J90" s="15"/>
      <c r="K90" s="16">
        <v>0</v>
      </c>
      <c r="N90">
        <f t="shared" si="8"/>
        <v>89505</v>
      </c>
      <c r="O90">
        <f>IF(AND(A90&gt;0,A90&lt;999),IFERROR(VLOOKUP(results0117[[#This Row],[Card]],U14M[],1,FALSE),0),0)</f>
        <v>0</v>
      </c>
      <c r="P90">
        <f t="shared" si="9"/>
        <v>999</v>
      </c>
      <c r="Q90" s="5">
        <f t="shared" si="10"/>
        <v>999</v>
      </c>
      <c r="R90" s="5">
        <f t="shared" si="11"/>
        <v>65</v>
      </c>
    </row>
    <row r="91" spans="1:18" x14ac:dyDescent="0.25">
      <c r="A91" s="18">
        <v>999</v>
      </c>
      <c r="B91" s="18">
        <v>77422</v>
      </c>
      <c r="C91" s="18">
        <v>58</v>
      </c>
      <c r="D91" s="19" t="s">
        <v>84</v>
      </c>
      <c r="E91" s="19" t="s">
        <v>54</v>
      </c>
      <c r="F91" s="18">
        <v>4</v>
      </c>
      <c r="G91" s="19" t="s">
        <v>16</v>
      </c>
      <c r="H91" s="19" t="s">
        <v>220</v>
      </c>
      <c r="I91" s="19">
        <v>38</v>
      </c>
      <c r="J91" s="19"/>
      <c r="K91" s="20">
        <v>0</v>
      </c>
      <c r="N91">
        <f t="shared" si="8"/>
        <v>77422</v>
      </c>
      <c r="O91">
        <f>IF(AND(A91&gt;0,A91&lt;999),IFERROR(VLOOKUP(results0117[[#This Row],[Card]],U14M[],1,FALSE),0),0)</f>
        <v>0</v>
      </c>
      <c r="P91">
        <f t="shared" si="9"/>
        <v>999</v>
      </c>
      <c r="Q91" s="5">
        <f t="shared" si="10"/>
        <v>999</v>
      </c>
      <c r="R91" s="5">
        <f t="shared" si="11"/>
        <v>11</v>
      </c>
    </row>
    <row r="92" spans="1:18" x14ac:dyDescent="0.25">
      <c r="A92" s="14">
        <v>999</v>
      </c>
      <c r="B92" s="14">
        <v>81322</v>
      </c>
      <c r="C92" s="14">
        <v>75</v>
      </c>
      <c r="D92" s="15" t="s">
        <v>72</v>
      </c>
      <c r="E92" s="15" t="s">
        <v>22</v>
      </c>
      <c r="F92" s="14">
        <v>4</v>
      </c>
      <c r="G92" s="15" t="s">
        <v>16</v>
      </c>
      <c r="H92" s="15" t="s">
        <v>220</v>
      </c>
      <c r="I92" s="15">
        <v>39.950000000000003</v>
      </c>
      <c r="J92" s="15"/>
      <c r="K92" s="16">
        <v>0</v>
      </c>
      <c r="N92">
        <f t="shared" si="8"/>
        <v>81322</v>
      </c>
      <c r="O92">
        <f>IF(AND(A92&gt;0,A92&lt;999),IFERROR(VLOOKUP(results0117[[#This Row],[Card]],U14M[],1,FALSE),0),0)</f>
        <v>0</v>
      </c>
      <c r="P92">
        <f t="shared" si="9"/>
        <v>999</v>
      </c>
      <c r="Q92" s="5">
        <f t="shared" si="10"/>
        <v>999</v>
      </c>
      <c r="R92" s="5">
        <f t="shared" si="11"/>
        <v>40</v>
      </c>
    </row>
    <row r="93" spans="1:18" x14ac:dyDescent="0.25">
      <c r="A93" s="18">
        <v>999</v>
      </c>
      <c r="B93" s="18">
        <v>78517</v>
      </c>
      <c r="C93" s="18">
        <v>77</v>
      </c>
      <c r="D93" s="19" t="s">
        <v>14</v>
      </c>
      <c r="E93" s="19" t="s">
        <v>15</v>
      </c>
      <c r="F93" s="18">
        <v>4</v>
      </c>
      <c r="G93" s="19" t="s">
        <v>16</v>
      </c>
      <c r="H93" s="19" t="s">
        <v>220</v>
      </c>
      <c r="I93" s="19">
        <v>36.67</v>
      </c>
      <c r="J93" s="19"/>
      <c r="K93" s="20">
        <v>0</v>
      </c>
      <c r="N93">
        <f t="shared" si="8"/>
        <v>78517</v>
      </c>
      <c r="O93">
        <f>IF(AND(A93&gt;0,A93&lt;999),IFERROR(VLOOKUP(results0117[[#This Row],[Card]],U14M[],1,FALSE),0),0)</f>
        <v>0</v>
      </c>
      <c r="P93">
        <f t="shared" si="9"/>
        <v>999</v>
      </c>
      <c r="Q93" s="5">
        <f t="shared" si="10"/>
        <v>999</v>
      </c>
      <c r="R93" s="5">
        <f t="shared" si="11"/>
        <v>1</v>
      </c>
    </row>
    <row r="94" spans="1:18" x14ac:dyDescent="0.25">
      <c r="A94" s="14">
        <v>999</v>
      </c>
      <c r="B94" s="14">
        <v>82441</v>
      </c>
      <c r="C94" s="14">
        <v>79</v>
      </c>
      <c r="D94" s="15" t="s">
        <v>96</v>
      </c>
      <c r="E94" s="15" t="s">
        <v>15</v>
      </c>
      <c r="F94" s="14">
        <v>4</v>
      </c>
      <c r="G94" s="15" t="s">
        <v>16</v>
      </c>
      <c r="H94" s="15" t="s">
        <v>220</v>
      </c>
      <c r="I94" s="15">
        <v>39.53</v>
      </c>
      <c r="J94" s="15"/>
      <c r="K94" s="16">
        <v>0</v>
      </c>
      <c r="N94">
        <f t="shared" si="8"/>
        <v>82441</v>
      </c>
      <c r="O94">
        <f>IF(AND(A94&gt;0,A94&lt;999),IFERROR(VLOOKUP(results0117[[#This Row],[Card]],U14M[],1,FALSE),0),0)</f>
        <v>0</v>
      </c>
      <c r="P94">
        <f t="shared" si="9"/>
        <v>999</v>
      </c>
      <c r="Q94" s="5">
        <f t="shared" si="10"/>
        <v>999</v>
      </c>
      <c r="R94" s="5">
        <f t="shared" si="11"/>
        <v>34</v>
      </c>
    </row>
    <row r="95" spans="1:18" x14ac:dyDescent="0.25">
      <c r="A95" s="18">
        <v>999</v>
      </c>
      <c r="B95" s="18">
        <v>74564</v>
      </c>
      <c r="C95" s="18">
        <v>85</v>
      </c>
      <c r="D95" s="19" t="s">
        <v>100</v>
      </c>
      <c r="E95" s="19" t="s">
        <v>101</v>
      </c>
      <c r="F95" s="18">
        <v>5</v>
      </c>
      <c r="G95" s="19" t="s">
        <v>16</v>
      </c>
      <c r="H95" s="19" t="s">
        <v>220</v>
      </c>
      <c r="I95" s="19">
        <v>38.64</v>
      </c>
      <c r="J95" s="19"/>
      <c r="K95" s="20">
        <v>0</v>
      </c>
      <c r="N95">
        <f t="shared" si="8"/>
        <v>74564</v>
      </c>
      <c r="O95">
        <f>IF(AND(A95&gt;0,A95&lt;999),IFERROR(VLOOKUP(results0117[[#This Row],[Card]],U14M[],1,FALSE),0),0)</f>
        <v>0</v>
      </c>
      <c r="P95">
        <f t="shared" si="9"/>
        <v>999</v>
      </c>
      <c r="Q95" s="5">
        <f t="shared" si="10"/>
        <v>999</v>
      </c>
      <c r="R95" s="5">
        <f t="shared" si="11"/>
        <v>22</v>
      </c>
    </row>
    <row r="96" spans="1:18" x14ac:dyDescent="0.25">
      <c r="A96" s="14">
        <v>999</v>
      </c>
      <c r="B96" s="14">
        <v>87999</v>
      </c>
      <c r="C96" s="14">
        <v>89</v>
      </c>
      <c r="D96" s="15" t="s">
        <v>179</v>
      </c>
      <c r="E96" s="15" t="s">
        <v>19</v>
      </c>
      <c r="F96" s="14">
        <v>5</v>
      </c>
      <c r="G96" s="15" t="s">
        <v>16</v>
      </c>
      <c r="H96" s="15" t="s">
        <v>220</v>
      </c>
      <c r="I96" s="15">
        <v>42.22</v>
      </c>
      <c r="J96" s="15"/>
      <c r="K96" s="16">
        <v>0</v>
      </c>
      <c r="N96">
        <f t="shared" si="8"/>
        <v>87999</v>
      </c>
      <c r="O96">
        <f>IF(AND(A96&gt;0,A96&lt;999),IFERROR(VLOOKUP(results0117[[#This Row],[Card]],U14M[],1,FALSE),0),0)</f>
        <v>0</v>
      </c>
      <c r="P96">
        <f t="shared" si="9"/>
        <v>999</v>
      </c>
      <c r="Q96" s="5">
        <f t="shared" si="10"/>
        <v>999</v>
      </c>
      <c r="R96" s="5">
        <f t="shared" si="11"/>
        <v>71</v>
      </c>
    </row>
    <row r="97" spans="1:18" x14ac:dyDescent="0.25">
      <c r="A97" s="18">
        <v>999</v>
      </c>
      <c r="B97" s="18">
        <v>81879</v>
      </c>
      <c r="C97" s="18">
        <v>93</v>
      </c>
      <c r="D97" s="19" t="s">
        <v>146</v>
      </c>
      <c r="E97" s="19" t="s">
        <v>22</v>
      </c>
      <c r="F97" s="18">
        <v>5</v>
      </c>
      <c r="G97" s="19" t="s">
        <v>16</v>
      </c>
      <c r="H97" s="19" t="s">
        <v>220</v>
      </c>
      <c r="I97" s="19">
        <v>40.56</v>
      </c>
      <c r="J97" s="19"/>
      <c r="K97" s="20">
        <v>0</v>
      </c>
      <c r="N97">
        <f t="shared" si="8"/>
        <v>81879</v>
      </c>
      <c r="O97">
        <f>IF(AND(A97&gt;0,A97&lt;999),IFERROR(VLOOKUP(results0117[[#This Row],[Card]],U14M[],1,FALSE),0),0)</f>
        <v>0</v>
      </c>
      <c r="P97">
        <f t="shared" si="9"/>
        <v>999</v>
      </c>
      <c r="Q97" s="5">
        <f t="shared" si="10"/>
        <v>999</v>
      </c>
      <c r="R97" s="5">
        <f t="shared" si="11"/>
        <v>51</v>
      </c>
    </row>
    <row r="98" spans="1:18" x14ac:dyDescent="0.25">
      <c r="A98" s="14">
        <v>999</v>
      </c>
      <c r="B98" s="14">
        <v>80682</v>
      </c>
      <c r="C98" s="14">
        <v>100</v>
      </c>
      <c r="D98" s="15" t="s">
        <v>135</v>
      </c>
      <c r="E98" s="15" t="s">
        <v>15</v>
      </c>
      <c r="F98" s="14">
        <v>4</v>
      </c>
      <c r="G98" s="15" t="s">
        <v>16</v>
      </c>
      <c r="H98" s="15" t="s">
        <v>220</v>
      </c>
      <c r="I98" s="15">
        <v>40.53</v>
      </c>
      <c r="J98" s="15"/>
      <c r="K98" s="16">
        <v>0</v>
      </c>
      <c r="N98">
        <f t="shared" ref="N98:N116" si="12">B98</f>
        <v>80682</v>
      </c>
      <c r="O98">
        <f>IF(AND(A98&gt;0,A98&lt;999),IFERROR(VLOOKUP(results0117[[#This Row],[Card]],U14M[],1,FALSE),0),0)</f>
        <v>0</v>
      </c>
      <c r="P98">
        <f t="shared" ref="P98:P116" si="13">A98</f>
        <v>999</v>
      </c>
      <c r="Q98" s="5">
        <f t="shared" ref="Q98:Q116" si="14">IFERROR(_xlfn.RANK.EQ(H98,$H$2:$H$116,1),999)</f>
        <v>999</v>
      </c>
      <c r="R98" s="5">
        <f t="shared" ref="R98:R116" si="15">IFERROR(_xlfn.RANK.EQ(I98,$I$2:$I$116,1),999)</f>
        <v>50</v>
      </c>
    </row>
    <row r="99" spans="1:18" x14ac:dyDescent="0.25">
      <c r="A99" s="18">
        <v>999</v>
      </c>
      <c r="B99" s="18">
        <v>80628</v>
      </c>
      <c r="C99" s="18">
        <v>104</v>
      </c>
      <c r="D99" s="19" t="s">
        <v>58</v>
      </c>
      <c r="E99" s="19" t="s">
        <v>19</v>
      </c>
      <c r="F99" s="18">
        <v>4</v>
      </c>
      <c r="G99" s="19" t="s">
        <v>16</v>
      </c>
      <c r="H99" s="19" t="s">
        <v>220</v>
      </c>
      <c r="I99" s="19" t="s">
        <v>215</v>
      </c>
      <c r="J99" s="19"/>
      <c r="K99" s="20">
        <v>0</v>
      </c>
      <c r="N99">
        <f t="shared" si="12"/>
        <v>80628</v>
      </c>
      <c r="O99">
        <f>IF(AND(A99&gt;0,A99&lt;999),IFERROR(VLOOKUP(results0117[[#This Row],[Card]],U14M[],1,FALSE),0),0)</f>
        <v>0</v>
      </c>
      <c r="P99">
        <f t="shared" si="13"/>
        <v>999</v>
      </c>
      <c r="Q99" s="5">
        <f t="shared" si="14"/>
        <v>999</v>
      </c>
      <c r="R99" s="5">
        <f t="shared" si="15"/>
        <v>999</v>
      </c>
    </row>
    <row r="100" spans="1:18" x14ac:dyDescent="0.25">
      <c r="A100" s="14">
        <v>999</v>
      </c>
      <c r="B100" s="14">
        <v>80713</v>
      </c>
      <c r="C100" s="14">
        <v>106</v>
      </c>
      <c r="D100" s="15" t="s">
        <v>21</v>
      </c>
      <c r="E100" s="15" t="s">
        <v>22</v>
      </c>
      <c r="F100" s="14">
        <v>4</v>
      </c>
      <c r="G100" s="15" t="s">
        <v>16</v>
      </c>
      <c r="H100" s="15" t="s">
        <v>220</v>
      </c>
      <c r="I100" s="15">
        <v>38.08</v>
      </c>
      <c r="J100" s="15"/>
      <c r="K100" s="16">
        <v>0</v>
      </c>
      <c r="N100">
        <f t="shared" si="12"/>
        <v>80713</v>
      </c>
      <c r="O100">
        <f>IF(AND(A100&gt;0,A100&lt;999),IFERROR(VLOOKUP(results0117[[#This Row],[Card]],U14M[],1,FALSE),0),0)</f>
        <v>0</v>
      </c>
      <c r="P100">
        <f t="shared" si="13"/>
        <v>999</v>
      </c>
      <c r="Q100" s="5">
        <f t="shared" si="14"/>
        <v>999</v>
      </c>
      <c r="R100" s="5">
        <f t="shared" si="15"/>
        <v>12</v>
      </c>
    </row>
    <row r="101" spans="1:18" x14ac:dyDescent="0.25">
      <c r="A101" s="18">
        <v>999</v>
      </c>
      <c r="B101" s="18">
        <v>80627</v>
      </c>
      <c r="C101" s="18">
        <v>107</v>
      </c>
      <c r="D101" s="19" t="s">
        <v>222</v>
      </c>
      <c r="E101" s="19" t="s">
        <v>19</v>
      </c>
      <c r="F101" s="18">
        <v>5</v>
      </c>
      <c r="G101" s="19" t="s">
        <v>16</v>
      </c>
      <c r="H101" s="19" t="s">
        <v>220</v>
      </c>
      <c r="I101" s="19">
        <v>41.39</v>
      </c>
      <c r="J101" s="19"/>
      <c r="K101" s="20">
        <v>0</v>
      </c>
      <c r="N101">
        <f t="shared" si="12"/>
        <v>80627</v>
      </c>
      <c r="O101">
        <f>IF(AND(A101&gt;0,A101&lt;999),IFERROR(VLOOKUP(results0117[[#This Row],[Card]],U14M[],1,FALSE),0),0)</f>
        <v>0</v>
      </c>
      <c r="P101">
        <f t="shared" si="13"/>
        <v>999</v>
      </c>
      <c r="Q101" s="5">
        <f t="shared" si="14"/>
        <v>999</v>
      </c>
      <c r="R101" s="5">
        <f t="shared" si="15"/>
        <v>62</v>
      </c>
    </row>
    <row r="102" spans="1:18" x14ac:dyDescent="0.25">
      <c r="A102" s="14">
        <v>999</v>
      </c>
      <c r="B102" s="14">
        <v>81455</v>
      </c>
      <c r="C102" s="14">
        <v>8</v>
      </c>
      <c r="D102" s="15" t="s">
        <v>171</v>
      </c>
      <c r="E102" s="15" t="s">
        <v>19</v>
      </c>
      <c r="F102" s="14">
        <v>5</v>
      </c>
      <c r="G102" s="15" t="s">
        <v>16</v>
      </c>
      <c r="H102" s="15">
        <v>44.98</v>
      </c>
      <c r="I102" s="15" t="s">
        <v>220</v>
      </c>
      <c r="J102" s="15"/>
      <c r="K102" s="16">
        <v>0</v>
      </c>
      <c r="N102">
        <f t="shared" si="12"/>
        <v>81455</v>
      </c>
      <c r="O102">
        <f>IF(AND(A102&gt;0,A102&lt;999),IFERROR(VLOOKUP(results0117[[#This Row],[Card]],U14M[],1,FALSE),0),0)</f>
        <v>0</v>
      </c>
      <c r="P102">
        <f t="shared" si="13"/>
        <v>999</v>
      </c>
      <c r="Q102" s="5">
        <f t="shared" si="14"/>
        <v>52</v>
      </c>
      <c r="R102" s="5">
        <f t="shared" si="15"/>
        <v>999</v>
      </c>
    </row>
    <row r="103" spans="1:18" x14ac:dyDescent="0.25">
      <c r="A103" s="18">
        <v>999</v>
      </c>
      <c r="B103" s="18">
        <v>85883</v>
      </c>
      <c r="C103" s="18">
        <v>17</v>
      </c>
      <c r="D103" s="19" t="s">
        <v>51</v>
      </c>
      <c r="E103" s="19" t="s">
        <v>15</v>
      </c>
      <c r="F103" s="18">
        <v>4</v>
      </c>
      <c r="G103" s="19" t="s">
        <v>16</v>
      </c>
      <c r="H103" s="19">
        <v>42.82</v>
      </c>
      <c r="I103" s="19" t="s">
        <v>220</v>
      </c>
      <c r="J103" s="19"/>
      <c r="K103" s="20">
        <v>0</v>
      </c>
      <c r="N103">
        <f t="shared" si="12"/>
        <v>85883</v>
      </c>
      <c r="O103">
        <f>IF(AND(A103&gt;0,A103&lt;999),IFERROR(VLOOKUP(results0117[[#This Row],[Card]],U14M[],1,FALSE),0),0)</f>
        <v>0</v>
      </c>
      <c r="P103">
        <f t="shared" si="13"/>
        <v>999</v>
      </c>
      <c r="Q103" s="5">
        <f t="shared" si="14"/>
        <v>15</v>
      </c>
      <c r="R103" s="5">
        <f t="shared" si="15"/>
        <v>999</v>
      </c>
    </row>
    <row r="104" spans="1:18" x14ac:dyDescent="0.25">
      <c r="A104" s="14">
        <v>999</v>
      </c>
      <c r="B104" s="14">
        <v>80618</v>
      </c>
      <c r="C104" s="14">
        <v>18</v>
      </c>
      <c r="D104" s="15" t="s">
        <v>123</v>
      </c>
      <c r="E104" s="15" t="s">
        <v>19</v>
      </c>
      <c r="F104" s="14">
        <v>4</v>
      </c>
      <c r="G104" s="15" t="s">
        <v>16</v>
      </c>
      <c r="H104" s="15">
        <v>44.41</v>
      </c>
      <c r="I104" s="15" t="s">
        <v>220</v>
      </c>
      <c r="J104" s="15"/>
      <c r="K104" s="16">
        <v>0</v>
      </c>
      <c r="N104">
        <f t="shared" si="12"/>
        <v>80618</v>
      </c>
      <c r="O104">
        <f>IF(AND(A104&gt;0,A104&lt;999),IFERROR(VLOOKUP(results0117[[#This Row],[Card]],U14M[],1,FALSE),0),0)</f>
        <v>0</v>
      </c>
      <c r="P104">
        <f t="shared" si="13"/>
        <v>999</v>
      </c>
      <c r="Q104" s="5">
        <f t="shared" si="14"/>
        <v>37</v>
      </c>
      <c r="R104" s="5">
        <f t="shared" si="15"/>
        <v>999</v>
      </c>
    </row>
    <row r="105" spans="1:18" x14ac:dyDescent="0.25">
      <c r="A105" s="18">
        <v>999</v>
      </c>
      <c r="B105" s="18">
        <v>80698</v>
      </c>
      <c r="C105" s="18">
        <v>23</v>
      </c>
      <c r="D105" s="19" t="s">
        <v>30</v>
      </c>
      <c r="E105" s="19" t="s">
        <v>31</v>
      </c>
      <c r="F105" s="18">
        <v>4</v>
      </c>
      <c r="G105" s="19" t="s">
        <v>16</v>
      </c>
      <c r="H105" s="19">
        <v>43.02</v>
      </c>
      <c r="I105" s="19" t="s">
        <v>220</v>
      </c>
      <c r="J105" s="19"/>
      <c r="K105" s="20">
        <v>0</v>
      </c>
      <c r="N105">
        <f t="shared" si="12"/>
        <v>80698</v>
      </c>
      <c r="O105">
        <f>IF(AND(A105&gt;0,A105&lt;999),IFERROR(VLOOKUP(results0117[[#This Row],[Card]],U14M[],1,FALSE),0),0)</f>
        <v>0</v>
      </c>
      <c r="P105">
        <f t="shared" si="13"/>
        <v>999</v>
      </c>
      <c r="Q105" s="5">
        <f t="shared" si="14"/>
        <v>21</v>
      </c>
      <c r="R105" s="5">
        <f t="shared" si="15"/>
        <v>999</v>
      </c>
    </row>
    <row r="106" spans="1:18" x14ac:dyDescent="0.25">
      <c r="A106" s="14">
        <v>999</v>
      </c>
      <c r="B106" s="14">
        <v>78504</v>
      </c>
      <c r="C106" s="14">
        <v>46</v>
      </c>
      <c r="D106" s="15" t="s">
        <v>210</v>
      </c>
      <c r="E106" s="15" t="s">
        <v>19</v>
      </c>
      <c r="F106" s="14">
        <v>5</v>
      </c>
      <c r="G106" s="15" t="s">
        <v>16</v>
      </c>
      <c r="H106" s="15">
        <v>51.11</v>
      </c>
      <c r="I106" s="15" t="s">
        <v>220</v>
      </c>
      <c r="J106" s="15"/>
      <c r="K106" s="16">
        <v>0</v>
      </c>
      <c r="N106">
        <f t="shared" si="12"/>
        <v>78504</v>
      </c>
      <c r="O106">
        <f>IF(AND(A106&gt;0,A106&lt;999),IFERROR(VLOOKUP(results0117[[#This Row],[Card]],U14M[],1,FALSE),0),0)</f>
        <v>0</v>
      </c>
      <c r="P106">
        <f t="shared" si="13"/>
        <v>999</v>
      </c>
      <c r="Q106" s="5">
        <f t="shared" si="14"/>
        <v>93</v>
      </c>
      <c r="R106" s="5">
        <f t="shared" si="15"/>
        <v>999</v>
      </c>
    </row>
    <row r="107" spans="1:18" x14ac:dyDescent="0.25">
      <c r="A107" s="18">
        <v>999</v>
      </c>
      <c r="B107" s="18">
        <v>86143</v>
      </c>
      <c r="C107" s="18">
        <v>49</v>
      </c>
      <c r="D107" s="19" t="s">
        <v>125</v>
      </c>
      <c r="E107" s="19" t="s">
        <v>42</v>
      </c>
      <c r="F107" s="18">
        <v>4</v>
      </c>
      <c r="G107" s="19" t="s">
        <v>16</v>
      </c>
      <c r="H107" s="19">
        <v>47.64</v>
      </c>
      <c r="I107" s="19" t="s">
        <v>220</v>
      </c>
      <c r="J107" s="19"/>
      <c r="K107" s="20">
        <v>0</v>
      </c>
      <c r="N107">
        <f t="shared" si="12"/>
        <v>86143</v>
      </c>
      <c r="O107">
        <f>IF(AND(A107&gt;0,A107&lt;999),IFERROR(VLOOKUP(results0117[[#This Row],[Card]],U14M[],1,FALSE),0),0)</f>
        <v>0</v>
      </c>
      <c r="P107">
        <f t="shared" si="13"/>
        <v>999</v>
      </c>
      <c r="Q107" s="5">
        <f t="shared" si="14"/>
        <v>80</v>
      </c>
      <c r="R107" s="5">
        <f t="shared" si="15"/>
        <v>999</v>
      </c>
    </row>
    <row r="108" spans="1:18" x14ac:dyDescent="0.25">
      <c r="A108" s="14">
        <v>999</v>
      </c>
      <c r="B108" s="14">
        <v>84692</v>
      </c>
      <c r="C108" s="14">
        <v>54</v>
      </c>
      <c r="D108" s="15" t="s">
        <v>173</v>
      </c>
      <c r="E108" s="15" t="s">
        <v>22</v>
      </c>
      <c r="F108" s="14">
        <v>4</v>
      </c>
      <c r="G108" s="15" t="s">
        <v>16</v>
      </c>
      <c r="H108" s="15">
        <v>44.62</v>
      </c>
      <c r="I108" s="15" t="s">
        <v>220</v>
      </c>
      <c r="J108" s="15"/>
      <c r="K108" s="16">
        <v>0</v>
      </c>
      <c r="N108">
        <f t="shared" si="12"/>
        <v>84692</v>
      </c>
      <c r="O108">
        <f>IF(AND(A108&gt;0,A108&lt;999),IFERROR(VLOOKUP(results0117[[#This Row],[Card]],U14M[],1,FALSE),0),0)</f>
        <v>0</v>
      </c>
      <c r="P108">
        <f t="shared" si="13"/>
        <v>999</v>
      </c>
      <c r="Q108" s="5">
        <f t="shared" si="14"/>
        <v>43</v>
      </c>
      <c r="R108" s="5">
        <f t="shared" si="15"/>
        <v>999</v>
      </c>
    </row>
    <row r="109" spans="1:18" x14ac:dyDescent="0.25">
      <c r="A109" s="18">
        <v>999</v>
      </c>
      <c r="B109" s="18">
        <v>80692</v>
      </c>
      <c r="C109" s="18">
        <v>59</v>
      </c>
      <c r="D109" s="19" t="s">
        <v>317</v>
      </c>
      <c r="E109" s="19" t="s">
        <v>31</v>
      </c>
      <c r="F109" s="18">
        <v>5</v>
      </c>
      <c r="G109" s="19" t="s">
        <v>16</v>
      </c>
      <c r="H109" s="19">
        <v>46.52</v>
      </c>
      <c r="I109" s="19" t="s">
        <v>220</v>
      </c>
      <c r="J109" s="19"/>
      <c r="K109" s="20">
        <v>0</v>
      </c>
      <c r="N109">
        <f t="shared" si="12"/>
        <v>80692</v>
      </c>
      <c r="O109">
        <f>IF(AND(A109&gt;0,A109&lt;999),IFERROR(VLOOKUP(results0117[[#This Row],[Card]],U14M[],1,FALSE),0),0)</f>
        <v>0</v>
      </c>
      <c r="P109">
        <f t="shared" si="13"/>
        <v>999</v>
      </c>
      <c r="Q109" s="5">
        <f t="shared" si="14"/>
        <v>73</v>
      </c>
      <c r="R109" s="5">
        <f t="shared" si="15"/>
        <v>999</v>
      </c>
    </row>
    <row r="110" spans="1:18" x14ac:dyDescent="0.25">
      <c r="A110" s="14">
        <v>999</v>
      </c>
      <c r="B110" s="14">
        <v>81112</v>
      </c>
      <c r="C110" s="14">
        <v>70</v>
      </c>
      <c r="D110" s="15" t="s">
        <v>63</v>
      </c>
      <c r="E110" s="15" t="s">
        <v>22</v>
      </c>
      <c r="F110" s="14">
        <v>4</v>
      </c>
      <c r="G110" s="15" t="s">
        <v>16</v>
      </c>
      <c r="H110" s="15">
        <v>44.55</v>
      </c>
      <c r="I110" s="15" t="s">
        <v>220</v>
      </c>
      <c r="J110" s="15"/>
      <c r="K110" s="16">
        <v>0</v>
      </c>
      <c r="N110">
        <f t="shared" si="12"/>
        <v>81112</v>
      </c>
      <c r="O110">
        <f>IF(AND(A110&gt;0,A110&lt;999),IFERROR(VLOOKUP(results0117[[#This Row],[Card]],U14M[],1,FALSE),0),0)</f>
        <v>0</v>
      </c>
      <c r="P110">
        <f t="shared" si="13"/>
        <v>999</v>
      </c>
      <c r="Q110" s="5">
        <f t="shared" si="14"/>
        <v>40</v>
      </c>
      <c r="R110" s="5">
        <f t="shared" si="15"/>
        <v>999</v>
      </c>
    </row>
    <row r="111" spans="1:18" x14ac:dyDescent="0.25">
      <c r="A111" s="18">
        <v>999</v>
      </c>
      <c r="B111" s="18">
        <v>80625</v>
      </c>
      <c r="C111" s="18">
        <v>74</v>
      </c>
      <c r="D111" s="19" t="s">
        <v>76</v>
      </c>
      <c r="E111" s="19" t="s">
        <v>19</v>
      </c>
      <c r="F111" s="18">
        <v>4</v>
      </c>
      <c r="G111" s="19" t="s">
        <v>16</v>
      </c>
      <c r="H111" s="19">
        <v>43.68</v>
      </c>
      <c r="I111" s="19" t="s">
        <v>220</v>
      </c>
      <c r="J111" s="19"/>
      <c r="K111" s="20">
        <v>0</v>
      </c>
      <c r="N111">
        <f t="shared" si="12"/>
        <v>80625</v>
      </c>
      <c r="O111">
        <f>IF(AND(A111&gt;0,A111&lt;999),IFERROR(VLOOKUP(results0117[[#This Row],[Card]],U14M[],1,FALSE),0),0)</f>
        <v>0</v>
      </c>
      <c r="P111">
        <f t="shared" si="13"/>
        <v>999</v>
      </c>
      <c r="Q111" s="5">
        <f t="shared" si="14"/>
        <v>29</v>
      </c>
      <c r="R111" s="5">
        <f t="shared" si="15"/>
        <v>999</v>
      </c>
    </row>
    <row r="112" spans="1:18" x14ac:dyDescent="0.25">
      <c r="A112" s="14">
        <v>999</v>
      </c>
      <c r="B112" s="14">
        <v>78178</v>
      </c>
      <c r="C112" s="14">
        <v>80</v>
      </c>
      <c r="D112" s="15" t="s">
        <v>194</v>
      </c>
      <c r="E112" s="15" t="s">
        <v>61</v>
      </c>
      <c r="F112" s="14">
        <v>4</v>
      </c>
      <c r="G112" s="15" t="s">
        <v>16</v>
      </c>
      <c r="H112" s="15">
        <v>45.61</v>
      </c>
      <c r="I112" s="15" t="s">
        <v>220</v>
      </c>
      <c r="J112" s="15"/>
      <c r="K112" s="16">
        <v>0</v>
      </c>
      <c r="N112">
        <f t="shared" si="12"/>
        <v>78178</v>
      </c>
      <c r="O112">
        <f>IF(AND(A112&gt;0,A112&lt;999),IFERROR(VLOOKUP(results0117[[#This Row],[Card]],U14M[],1,FALSE),0),0)</f>
        <v>0</v>
      </c>
      <c r="P112">
        <f t="shared" si="13"/>
        <v>999</v>
      </c>
      <c r="Q112" s="5">
        <f t="shared" si="14"/>
        <v>60</v>
      </c>
      <c r="R112" s="5">
        <f t="shared" si="15"/>
        <v>999</v>
      </c>
    </row>
    <row r="113" spans="1:18" x14ac:dyDescent="0.25">
      <c r="A113" s="18">
        <v>999</v>
      </c>
      <c r="B113" s="18">
        <v>88381</v>
      </c>
      <c r="C113" s="18">
        <v>82</v>
      </c>
      <c r="D113" s="19" t="s">
        <v>181</v>
      </c>
      <c r="E113" s="19" t="s">
        <v>47</v>
      </c>
      <c r="F113" s="18">
        <v>5</v>
      </c>
      <c r="G113" s="19" t="s">
        <v>16</v>
      </c>
      <c r="H113" s="19">
        <v>48.44</v>
      </c>
      <c r="I113" s="19" t="s">
        <v>220</v>
      </c>
      <c r="J113" s="19"/>
      <c r="K113" s="20">
        <v>0</v>
      </c>
      <c r="N113">
        <f t="shared" si="12"/>
        <v>88381</v>
      </c>
      <c r="O113">
        <f>IF(AND(A113&gt;0,A113&lt;999),IFERROR(VLOOKUP(results0117[[#This Row],[Card]],U14M[],1,FALSE),0),0)</f>
        <v>0</v>
      </c>
      <c r="P113">
        <f t="shared" si="13"/>
        <v>999</v>
      </c>
      <c r="Q113" s="5">
        <f t="shared" si="14"/>
        <v>83</v>
      </c>
      <c r="R113" s="5">
        <f t="shared" si="15"/>
        <v>999</v>
      </c>
    </row>
    <row r="114" spans="1:18" x14ac:dyDescent="0.25">
      <c r="A114" s="14">
        <v>999</v>
      </c>
      <c r="B114" s="14">
        <v>82224</v>
      </c>
      <c r="C114" s="14">
        <v>108</v>
      </c>
      <c r="D114" s="15" t="s">
        <v>190</v>
      </c>
      <c r="E114" s="15" t="s">
        <v>101</v>
      </c>
      <c r="F114" s="14">
        <v>4</v>
      </c>
      <c r="G114" s="15" t="s">
        <v>16</v>
      </c>
      <c r="H114" s="15">
        <v>46.87</v>
      </c>
      <c r="I114" s="15" t="s">
        <v>220</v>
      </c>
      <c r="J114" s="15"/>
      <c r="K114" s="16">
        <v>0</v>
      </c>
      <c r="N114">
        <f t="shared" si="12"/>
        <v>82224</v>
      </c>
      <c r="O114">
        <f>IF(AND(A114&gt;0,A114&lt;999),IFERROR(VLOOKUP(results0117[[#This Row],[Card]],U14M[],1,FALSE),0),0)</f>
        <v>0</v>
      </c>
      <c r="P114">
        <f t="shared" si="13"/>
        <v>999</v>
      </c>
      <c r="Q114" s="5">
        <f t="shared" si="14"/>
        <v>77</v>
      </c>
      <c r="R114" s="5">
        <f t="shared" si="15"/>
        <v>999</v>
      </c>
    </row>
    <row r="115" spans="1:18" x14ac:dyDescent="0.25">
      <c r="A115" s="18">
        <v>999</v>
      </c>
      <c r="B115" s="18">
        <v>80809</v>
      </c>
      <c r="C115" s="18">
        <v>109</v>
      </c>
      <c r="D115" s="19" t="s">
        <v>53</v>
      </c>
      <c r="E115" s="19" t="s">
        <v>54</v>
      </c>
      <c r="F115" s="18">
        <v>4</v>
      </c>
      <c r="G115" s="19" t="s">
        <v>16</v>
      </c>
      <c r="H115" s="19">
        <v>42.35</v>
      </c>
      <c r="I115" s="19" t="s">
        <v>220</v>
      </c>
      <c r="J115" s="19"/>
      <c r="K115" s="20">
        <v>0</v>
      </c>
      <c r="N115">
        <f t="shared" si="12"/>
        <v>80809</v>
      </c>
      <c r="O115">
        <f>IF(AND(A115&gt;0,A115&lt;999),IFERROR(VLOOKUP(results0117[[#This Row],[Card]],U14M[],1,FALSE),0),0)</f>
        <v>0</v>
      </c>
      <c r="P115">
        <f t="shared" si="13"/>
        <v>999</v>
      </c>
      <c r="Q115" s="5">
        <f t="shared" si="14"/>
        <v>7</v>
      </c>
      <c r="R115" s="5">
        <f t="shared" si="15"/>
        <v>999</v>
      </c>
    </row>
    <row r="116" spans="1:18" x14ac:dyDescent="0.25">
      <c r="A116" s="28">
        <v>999</v>
      </c>
      <c r="B116" s="28">
        <v>81880</v>
      </c>
      <c r="C116" s="28">
        <v>83</v>
      </c>
      <c r="D116" s="29" t="s">
        <v>212</v>
      </c>
      <c r="E116" s="29" t="s">
        <v>61</v>
      </c>
      <c r="F116" s="28">
        <v>5</v>
      </c>
      <c r="G116" s="29" t="s">
        <v>16</v>
      </c>
      <c r="H116" s="29">
        <v>56.99</v>
      </c>
      <c r="I116" s="29" t="s">
        <v>471</v>
      </c>
      <c r="J116" s="29"/>
      <c r="K116" s="30">
        <v>0</v>
      </c>
      <c r="N116">
        <f t="shared" si="12"/>
        <v>81880</v>
      </c>
      <c r="O116">
        <f>IF(AND(A116&gt;0,A116&lt;999),IFERROR(VLOOKUP(results0117[[#This Row],[Card]],U14M[],1,FALSE),0),0)</f>
        <v>0</v>
      </c>
      <c r="P116">
        <f t="shared" si="13"/>
        <v>999</v>
      </c>
      <c r="Q116" s="5">
        <f t="shared" si="14"/>
        <v>95</v>
      </c>
      <c r="R116" s="5">
        <f t="shared" si="15"/>
        <v>999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workbookViewId="0">
      <selection activeCell="Q3" sqref="Q3"/>
    </sheetView>
  </sheetViews>
  <sheetFormatPr defaultRowHeight="15" x14ac:dyDescent="0.25"/>
  <cols>
    <col min="1" max="1" width="7.42578125" bestFit="1" customWidth="1"/>
    <col min="2" max="2" width="7.140625" bestFit="1" customWidth="1"/>
    <col min="3" max="3" width="5.85546875" bestFit="1" customWidth="1"/>
    <col min="4" max="4" width="24.5703125" bestFit="1" customWidth="1"/>
    <col min="5" max="5" width="7" bestFit="1" customWidth="1"/>
    <col min="6" max="6" width="6.7109375" bestFit="1" customWidth="1"/>
    <col min="7" max="7" width="10.7109375" bestFit="1" customWidth="1"/>
    <col min="8" max="8" width="9.42578125" bestFit="1" customWidth="1"/>
    <col min="9" max="9" width="9.7109375" bestFit="1" customWidth="1"/>
    <col min="10" max="10" width="12" bestFit="1" customWidth="1"/>
    <col min="11" max="11" width="8.42578125" bestFit="1" customWidth="1"/>
  </cols>
  <sheetData>
    <row r="1" spans="1:18" ht="14.45" x14ac:dyDescent="0.3">
      <c r="A1" s="10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N1" s="21" t="s">
        <v>3</v>
      </c>
      <c r="O1" s="21" t="s">
        <v>226</v>
      </c>
      <c r="P1" s="21" t="s">
        <v>8</v>
      </c>
      <c r="Q1" s="32" t="s">
        <v>605</v>
      </c>
      <c r="R1" s="32" t="s">
        <v>606</v>
      </c>
    </row>
    <row r="2" spans="1:18" ht="14.45" x14ac:dyDescent="0.3">
      <c r="A2" s="13">
        <v>1</v>
      </c>
      <c r="B2" s="14">
        <v>78517</v>
      </c>
      <c r="C2" s="14">
        <v>62</v>
      </c>
      <c r="D2" s="15" t="s">
        <v>14</v>
      </c>
      <c r="E2" s="15" t="s">
        <v>15</v>
      </c>
      <c r="F2" s="14">
        <v>4</v>
      </c>
      <c r="G2" s="15" t="s">
        <v>16</v>
      </c>
      <c r="H2" s="15">
        <v>24.73</v>
      </c>
      <c r="I2" s="15">
        <v>25.14</v>
      </c>
      <c r="J2" s="15" t="s">
        <v>476</v>
      </c>
      <c r="K2" s="16">
        <v>0</v>
      </c>
      <c r="N2">
        <f t="shared" ref="N2:N33" si="0">B2</f>
        <v>78517</v>
      </c>
      <c r="O2">
        <f>IF(AND(A2&gt;0,A2&lt;999),IFERROR(VLOOKUP(results0119[[#This Row],[Card]],U14M[],1,FALSE),0),0)</f>
        <v>78517</v>
      </c>
      <c r="P2">
        <f t="shared" ref="P2:P33" si="1">A2</f>
        <v>1</v>
      </c>
      <c r="Q2" s="5">
        <f t="shared" ref="Q2:Q33" si="2">IFERROR(_xlfn.RANK.EQ(H2,$H$2:$H$114,1),999)</f>
        <v>2</v>
      </c>
      <c r="R2" s="5">
        <f t="shared" ref="R2:R33" si="3">IFERROR(_xlfn.RANK.EQ(I2,$I$2:$I$114,1),999)</f>
        <v>1</v>
      </c>
    </row>
    <row r="3" spans="1:18" ht="14.45" x14ac:dyDescent="0.3">
      <c r="A3" s="17">
        <v>2</v>
      </c>
      <c r="B3" s="18">
        <v>80713</v>
      </c>
      <c r="C3" s="18">
        <v>4</v>
      </c>
      <c r="D3" s="19" t="s">
        <v>21</v>
      </c>
      <c r="E3" s="19" t="s">
        <v>22</v>
      </c>
      <c r="F3" s="18">
        <v>4</v>
      </c>
      <c r="G3" s="19" t="s">
        <v>16</v>
      </c>
      <c r="H3" s="19">
        <v>24.55</v>
      </c>
      <c r="I3" s="19">
        <v>26.46</v>
      </c>
      <c r="J3" s="19" t="s">
        <v>477</v>
      </c>
      <c r="K3" s="20">
        <v>16.46</v>
      </c>
      <c r="N3">
        <f t="shared" si="0"/>
        <v>80713</v>
      </c>
      <c r="O3">
        <f>IF(AND(A3&gt;0,A3&lt;999),IFERROR(VLOOKUP(results0119[[#This Row],[Card]],U14M[],1,FALSE),0),0)</f>
        <v>80713</v>
      </c>
      <c r="P3">
        <f t="shared" si="1"/>
        <v>2</v>
      </c>
      <c r="Q3" s="5">
        <f t="shared" si="2"/>
        <v>1</v>
      </c>
      <c r="R3" s="5">
        <f t="shared" si="3"/>
        <v>8</v>
      </c>
    </row>
    <row r="4" spans="1:18" ht="14.45" x14ac:dyDescent="0.3">
      <c r="A4" s="13">
        <v>3</v>
      </c>
      <c r="B4" s="14">
        <v>82431</v>
      </c>
      <c r="C4" s="14">
        <v>34</v>
      </c>
      <c r="D4" s="15" t="s">
        <v>41</v>
      </c>
      <c r="E4" s="15" t="s">
        <v>42</v>
      </c>
      <c r="F4" s="14">
        <v>4</v>
      </c>
      <c r="G4" s="15" t="s">
        <v>16</v>
      </c>
      <c r="H4" s="15">
        <v>24.98</v>
      </c>
      <c r="I4" s="15">
        <v>26.21</v>
      </c>
      <c r="J4" s="15" t="s">
        <v>478</v>
      </c>
      <c r="K4" s="16">
        <v>19.059999999999999</v>
      </c>
      <c r="N4">
        <f t="shared" si="0"/>
        <v>82431</v>
      </c>
      <c r="O4">
        <f>IF(AND(A4&gt;0,A4&lt;999),IFERROR(VLOOKUP(results0119[[#This Row],[Card]],U14M[],1,FALSE),0),0)</f>
        <v>82431</v>
      </c>
      <c r="P4">
        <f t="shared" si="1"/>
        <v>3</v>
      </c>
      <c r="Q4" s="5">
        <f t="shared" si="2"/>
        <v>4</v>
      </c>
      <c r="R4" s="5">
        <f t="shared" si="3"/>
        <v>4</v>
      </c>
    </row>
    <row r="5" spans="1:18" ht="14.45" x14ac:dyDescent="0.3">
      <c r="A5" s="17">
        <v>4</v>
      </c>
      <c r="B5" s="18">
        <v>81073</v>
      </c>
      <c r="C5" s="18">
        <v>40</v>
      </c>
      <c r="D5" s="19" t="s">
        <v>40</v>
      </c>
      <c r="E5" s="19" t="s">
        <v>15</v>
      </c>
      <c r="F5" s="18">
        <v>4</v>
      </c>
      <c r="G5" s="19" t="s">
        <v>16</v>
      </c>
      <c r="H5" s="19">
        <v>24.99</v>
      </c>
      <c r="I5" s="19">
        <v>26.25</v>
      </c>
      <c r="J5" s="19" t="s">
        <v>479</v>
      </c>
      <c r="K5" s="20">
        <v>19.78</v>
      </c>
      <c r="N5">
        <f t="shared" si="0"/>
        <v>81073</v>
      </c>
      <c r="O5">
        <f>IF(AND(A5&gt;0,A5&lt;999),IFERROR(VLOOKUP(results0119[[#This Row],[Card]],U14M[],1,FALSE),0),0)</f>
        <v>81073</v>
      </c>
      <c r="P5">
        <f t="shared" si="1"/>
        <v>4</v>
      </c>
      <c r="Q5" s="5">
        <f t="shared" si="2"/>
        <v>5</v>
      </c>
      <c r="R5" s="5">
        <f t="shared" si="3"/>
        <v>5</v>
      </c>
    </row>
    <row r="6" spans="1:18" ht="14.45" x14ac:dyDescent="0.3">
      <c r="A6" s="13">
        <v>5</v>
      </c>
      <c r="B6" s="14">
        <v>77368</v>
      </c>
      <c r="C6" s="14">
        <v>86</v>
      </c>
      <c r="D6" s="15" t="s">
        <v>35</v>
      </c>
      <c r="E6" s="15" t="s">
        <v>15</v>
      </c>
      <c r="F6" s="14">
        <v>4</v>
      </c>
      <c r="G6" s="15" t="s">
        <v>16</v>
      </c>
      <c r="H6" s="15">
        <v>24.99</v>
      </c>
      <c r="I6" s="15">
        <v>26.42</v>
      </c>
      <c r="J6" s="15" t="s">
        <v>299</v>
      </c>
      <c r="K6" s="16">
        <v>22.23</v>
      </c>
      <c r="N6">
        <f t="shared" si="0"/>
        <v>77368</v>
      </c>
      <c r="O6">
        <f>IF(AND(A6&gt;0,A6&lt;999),IFERROR(VLOOKUP(results0119[[#This Row],[Card]],U14M[],1,FALSE),0),0)</f>
        <v>77368</v>
      </c>
      <c r="P6">
        <f t="shared" si="1"/>
        <v>5</v>
      </c>
      <c r="Q6" s="5">
        <f t="shared" si="2"/>
        <v>5</v>
      </c>
      <c r="R6" s="5">
        <f t="shared" si="3"/>
        <v>6</v>
      </c>
    </row>
    <row r="7" spans="1:18" ht="14.45" x14ac:dyDescent="0.3">
      <c r="A7" s="17">
        <v>6</v>
      </c>
      <c r="B7" s="18">
        <v>80698</v>
      </c>
      <c r="C7" s="18">
        <v>1</v>
      </c>
      <c r="D7" s="19" t="s">
        <v>30</v>
      </c>
      <c r="E7" s="19" t="s">
        <v>31</v>
      </c>
      <c r="F7" s="18">
        <v>4</v>
      </c>
      <c r="G7" s="19" t="s">
        <v>16</v>
      </c>
      <c r="H7" s="19">
        <v>24.8</v>
      </c>
      <c r="I7" s="19">
        <v>26.97</v>
      </c>
      <c r="J7" s="19" t="s">
        <v>480</v>
      </c>
      <c r="K7" s="20">
        <v>27.43</v>
      </c>
      <c r="N7">
        <f t="shared" si="0"/>
        <v>80698</v>
      </c>
      <c r="O7">
        <f>IF(AND(A7&gt;0,A7&lt;999),IFERROR(VLOOKUP(results0119[[#This Row],[Card]],U14M[],1,FALSE),0),0)</f>
        <v>80698</v>
      </c>
      <c r="P7">
        <f t="shared" si="1"/>
        <v>6</v>
      </c>
      <c r="Q7" s="5">
        <f t="shared" si="2"/>
        <v>3</v>
      </c>
      <c r="R7" s="5">
        <f t="shared" si="3"/>
        <v>13</v>
      </c>
    </row>
    <row r="8" spans="1:18" ht="14.45" x14ac:dyDescent="0.3">
      <c r="A8" s="13">
        <v>7</v>
      </c>
      <c r="B8" s="14">
        <v>80685</v>
      </c>
      <c r="C8" s="14">
        <v>48</v>
      </c>
      <c r="D8" s="15" t="s">
        <v>74</v>
      </c>
      <c r="E8" s="15" t="s">
        <v>15</v>
      </c>
      <c r="F8" s="14">
        <v>4</v>
      </c>
      <c r="G8" s="15" t="s">
        <v>16</v>
      </c>
      <c r="H8" s="15">
        <v>25.32</v>
      </c>
      <c r="I8" s="15">
        <v>26.48</v>
      </c>
      <c r="J8" s="15" t="s">
        <v>481</v>
      </c>
      <c r="K8" s="16">
        <v>27.86</v>
      </c>
      <c r="N8">
        <f t="shared" si="0"/>
        <v>80685</v>
      </c>
      <c r="O8">
        <f>IF(AND(A8&gt;0,A8&lt;999),IFERROR(VLOOKUP(results0119[[#This Row],[Card]],U14M[],1,FALSE),0),0)</f>
        <v>80685</v>
      </c>
      <c r="P8">
        <f t="shared" si="1"/>
        <v>7</v>
      </c>
      <c r="Q8" s="5">
        <f t="shared" si="2"/>
        <v>7</v>
      </c>
      <c r="R8" s="5">
        <f t="shared" si="3"/>
        <v>9</v>
      </c>
    </row>
    <row r="9" spans="1:18" ht="14.45" x14ac:dyDescent="0.3">
      <c r="A9" s="17">
        <v>8</v>
      </c>
      <c r="B9" s="18">
        <v>82440</v>
      </c>
      <c r="C9" s="18">
        <v>64</v>
      </c>
      <c r="D9" s="19" t="s">
        <v>56</v>
      </c>
      <c r="E9" s="19" t="s">
        <v>15</v>
      </c>
      <c r="F9" s="18">
        <v>4</v>
      </c>
      <c r="G9" s="19" t="s">
        <v>16</v>
      </c>
      <c r="H9" s="19">
        <v>25.94</v>
      </c>
      <c r="I9" s="19">
        <v>26.45</v>
      </c>
      <c r="J9" s="19" t="s">
        <v>482</v>
      </c>
      <c r="K9" s="20">
        <v>36.380000000000003</v>
      </c>
      <c r="N9">
        <f t="shared" si="0"/>
        <v>82440</v>
      </c>
      <c r="O9">
        <f>IF(AND(A9&gt;0,A9&lt;999),IFERROR(VLOOKUP(results0119[[#This Row],[Card]],U14M[],1,FALSE),0),0)</f>
        <v>82440</v>
      </c>
      <c r="P9">
        <f t="shared" si="1"/>
        <v>8</v>
      </c>
      <c r="Q9" s="5">
        <f t="shared" si="2"/>
        <v>14</v>
      </c>
      <c r="R9" s="5">
        <f t="shared" si="3"/>
        <v>7</v>
      </c>
    </row>
    <row r="10" spans="1:18" ht="14.45" x14ac:dyDescent="0.3">
      <c r="A10" s="13">
        <v>9</v>
      </c>
      <c r="B10" s="14">
        <v>80669</v>
      </c>
      <c r="C10" s="14">
        <v>46</v>
      </c>
      <c r="D10" s="15" t="s">
        <v>70</v>
      </c>
      <c r="E10" s="15" t="s">
        <v>15</v>
      </c>
      <c r="F10" s="14">
        <v>4</v>
      </c>
      <c r="G10" s="15" t="s">
        <v>16</v>
      </c>
      <c r="H10" s="15">
        <v>25.8</v>
      </c>
      <c r="I10" s="15">
        <v>26.89</v>
      </c>
      <c r="J10" s="15" t="s">
        <v>483</v>
      </c>
      <c r="K10" s="16">
        <v>40.71</v>
      </c>
      <c r="N10">
        <f t="shared" si="0"/>
        <v>80669</v>
      </c>
      <c r="O10">
        <f>IF(AND(A10&gt;0,A10&lt;999),IFERROR(VLOOKUP(results0119[[#This Row],[Card]],U14M[],1,FALSE),0),0)</f>
        <v>80669</v>
      </c>
      <c r="P10">
        <f t="shared" si="1"/>
        <v>9</v>
      </c>
      <c r="Q10" s="5">
        <f t="shared" si="2"/>
        <v>11</v>
      </c>
      <c r="R10" s="5">
        <f t="shared" si="3"/>
        <v>11</v>
      </c>
    </row>
    <row r="11" spans="1:18" ht="14.45" x14ac:dyDescent="0.3">
      <c r="A11" s="17">
        <v>10</v>
      </c>
      <c r="B11" s="18">
        <v>81108</v>
      </c>
      <c r="C11" s="18">
        <v>14</v>
      </c>
      <c r="D11" s="19" t="s">
        <v>44</v>
      </c>
      <c r="E11" s="19" t="s">
        <v>22</v>
      </c>
      <c r="F11" s="18">
        <v>5</v>
      </c>
      <c r="G11" s="19" t="s">
        <v>16</v>
      </c>
      <c r="H11" s="19">
        <v>25.44</v>
      </c>
      <c r="I11" s="19">
        <v>27.37</v>
      </c>
      <c r="J11" s="19" t="s">
        <v>484</v>
      </c>
      <c r="K11" s="20">
        <v>42.45</v>
      </c>
      <c r="N11">
        <f t="shared" si="0"/>
        <v>81108</v>
      </c>
      <c r="O11">
        <f>IF(AND(A11&gt;0,A11&lt;999),IFERROR(VLOOKUP(results0119[[#This Row],[Card]],U14M[],1,FALSE),0),0)</f>
        <v>81108</v>
      </c>
      <c r="P11">
        <f t="shared" si="1"/>
        <v>10</v>
      </c>
      <c r="Q11" s="5">
        <f t="shared" si="2"/>
        <v>9</v>
      </c>
      <c r="R11" s="5">
        <f t="shared" si="3"/>
        <v>17</v>
      </c>
    </row>
    <row r="12" spans="1:18" ht="14.45" x14ac:dyDescent="0.3">
      <c r="A12" s="13">
        <v>11</v>
      </c>
      <c r="B12" s="14">
        <v>80729</v>
      </c>
      <c r="C12" s="14">
        <v>74</v>
      </c>
      <c r="D12" s="15" t="s">
        <v>90</v>
      </c>
      <c r="E12" s="15" t="s">
        <v>22</v>
      </c>
      <c r="F12" s="14">
        <v>4</v>
      </c>
      <c r="G12" s="15" t="s">
        <v>16</v>
      </c>
      <c r="H12" s="15">
        <v>25.34</v>
      </c>
      <c r="I12" s="15">
        <v>27.55</v>
      </c>
      <c r="J12" s="15" t="s">
        <v>485</v>
      </c>
      <c r="K12" s="16">
        <v>43.6</v>
      </c>
      <c r="N12">
        <f t="shared" si="0"/>
        <v>80729</v>
      </c>
      <c r="O12">
        <f>IF(AND(A12&gt;0,A12&lt;999),IFERROR(VLOOKUP(results0119[[#This Row],[Card]],U14M[],1,FALSE),0),0)</f>
        <v>80729</v>
      </c>
      <c r="P12">
        <f t="shared" si="1"/>
        <v>11</v>
      </c>
      <c r="Q12" s="5">
        <f t="shared" si="2"/>
        <v>8</v>
      </c>
      <c r="R12" s="5">
        <f t="shared" si="3"/>
        <v>19</v>
      </c>
    </row>
    <row r="13" spans="1:18" ht="14.45" x14ac:dyDescent="0.3">
      <c r="A13" s="17">
        <v>12</v>
      </c>
      <c r="B13" s="18">
        <v>80717</v>
      </c>
      <c r="C13" s="18">
        <v>65</v>
      </c>
      <c r="D13" s="19" t="s">
        <v>26</v>
      </c>
      <c r="E13" s="19" t="s">
        <v>22</v>
      </c>
      <c r="F13" s="18">
        <v>4</v>
      </c>
      <c r="G13" s="19" t="s">
        <v>16</v>
      </c>
      <c r="H13" s="19">
        <v>25.72</v>
      </c>
      <c r="I13" s="19">
        <v>27.36</v>
      </c>
      <c r="J13" s="19" t="s">
        <v>486</v>
      </c>
      <c r="K13" s="20">
        <v>46.34</v>
      </c>
      <c r="N13">
        <f t="shared" si="0"/>
        <v>80717</v>
      </c>
      <c r="O13">
        <f>IF(AND(A13&gt;0,A13&lt;999),IFERROR(VLOOKUP(results0119[[#This Row],[Card]],U14M[],1,FALSE),0),0)</f>
        <v>80717</v>
      </c>
      <c r="P13">
        <f t="shared" si="1"/>
        <v>12</v>
      </c>
      <c r="Q13" s="5">
        <f t="shared" si="2"/>
        <v>10</v>
      </c>
      <c r="R13" s="5">
        <f t="shared" si="3"/>
        <v>16</v>
      </c>
    </row>
    <row r="14" spans="1:18" ht="14.45" x14ac:dyDescent="0.3">
      <c r="A14" s="13">
        <v>13</v>
      </c>
      <c r="B14" s="14">
        <v>80610</v>
      </c>
      <c r="C14" s="14">
        <v>105</v>
      </c>
      <c r="D14" s="15" t="s">
        <v>219</v>
      </c>
      <c r="E14" s="15" t="s">
        <v>15</v>
      </c>
      <c r="F14" s="14">
        <v>5</v>
      </c>
      <c r="G14" s="15" t="s">
        <v>16</v>
      </c>
      <c r="H14" s="15">
        <v>26.65</v>
      </c>
      <c r="I14" s="15">
        <v>26.92</v>
      </c>
      <c r="J14" s="15" t="s">
        <v>487</v>
      </c>
      <c r="K14" s="16">
        <v>53.42</v>
      </c>
      <c r="N14">
        <f t="shared" si="0"/>
        <v>80610</v>
      </c>
      <c r="O14">
        <f>IF(AND(A14&gt;0,A14&lt;999),IFERROR(VLOOKUP(results0119[[#This Row],[Card]],U14M[],1,FALSE),0),0)</f>
        <v>80610</v>
      </c>
      <c r="P14">
        <f t="shared" si="1"/>
        <v>13</v>
      </c>
      <c r="Q14" s="5">
        <f t="shared" si="2"/>
        <v>17</v>
      </c>
      <c r="R14" s="5">
        <f t="shared" si="3"/>
        <v>12</v>
      </c>
    </row>
    <row r="15" spans="1:18" ht="14.45" x14ac:dyDescent="0.3">
      <c r="A15" s="17">
        <v>14</v>
      </c>
      <c r="B15" s="18">
        <v>81322</v>
      </c>
      <c r="C15" s="18">
        <v>60</v>
      </c>
      <c r="D15" s="19" t="s">
        <v>72</v>
      </c>
      <c r="E15" s="19" t="s">
        <v>22</v>
      </c>
      <c r="F15" s="18">
        <v>4</v>
      </c>
      <c r="G15" s="19" t="s">
        <v>16</v>
      </c>
      <c r="H15" s="19">
        <v>26.05</v>
      </c>
      <c r="I15" s="19">
        <v>28.1</v>
      </c>
      <c r="J15" s="19" t="s">
        <v>488</v>
      </c>
      <c r="K15" s="20">
        <v>61.79</v>
      </c>
      <c r="N15">
        <f t="shared" si="0"/>
        <v>81322</v>
      </c>
      <c r="O15">
        <f>IF(AND(A15&gt;0,A15&lt;999),IFERROR(VLOOKUP(results0119[[#This Row],[Card]],U14M[],1,FALSE),0),0)</f>
        <v>81322</v>
      </c>
      <c r="P15">
        <f t="shared" si="1"/>
        <v>14</v>
      </c>
      <c r="Q15" s="5">
        <f t="shared" si="2"/>
        <v>15</v>
      </c>
      <c r="R15" s="5">
        <f t="shared" si="3"/>
        <v>24</v>
      </c>
    </row>
    <row r="16" spans="1:18" ht="14.45" x14ac:dyDescent="0.3">
      <c r="A16" s="13">
        <v>15</v>
      </c>
      <c r="B16" s="14">
        <v>84829</v>
      </c>
      <c r="C16" s="14">
        <v>94</v>
      </c>
      <c r="D16" s="15" t="s">
        <v>68</v>
      </c>
      <c r="E16" s="15" t="s">
        <v>15</v>
      </c>
      <c r="F16" s="14">
        <v>5</v>
      </c>
      <c r="G16" s="15" t="s">
        <v>16</v>
      </c>
      <c r="H16" s="15">
        <v>26.71</v>
      </c>
      <c r="I16" s="15">
        <v>27.92</v>
      </c>
      <c r="J16" s="15" t="s">
        <v>489</v>
      </c>
      <c r="K16" s="16">
        <v>68.72</v>
      </c>
      <c r="N16">
        <f t="shared" si="0"/>
        <v>84829</v>
      </c>
      <c r="O16">
        <f>IF(AND(A16&gt;0,A16&lt;999),IFERROR(VLOOKUP(results0119[[#This Row],[Card]],U14M[],1,FALSE),0),0)</f>
        <v>84829</v>
      </c>
      <c r="P16">
        <f t="shared" si="1"/>
        <v>15</v>
      </c>
      <c r="Q16" s="5">
        <f t="shared" si="2"/>
        <v>19</v>
      </c>
      <c r="R16" s="5">
        <f t="shared" si="3"/>
        <v>22</v>
      </c>
    </row>
    <row r="17" spans="1:18" ht="14.45" x14ac:dyDescent="0.3">
      <c r="A17" s="17">
        <v>16</v>
      </c>
      <c r="B17" s="18">
        <v>80621</v>
      </c>
      <c r="C17" s="18">
        <v>112</v>
      </c>
      <c r="D17" s="19" t="s">
        <v>18</v>
      </c>
      <c r="E17" s="19" t="s">
        <v>19</v>
      </c>
      <c r="F17" s="18">
        <v>4</v>
      </c>
      <c r="G17" s="19" t="s">
        <v>16</v>
      </c>
      <c r="H17" s="19">
        <v>26.89</v>
      </c>
      <c r="I17" s="19">
        <v>27.76</v>
      </c>
      <c r="J17" s="19" t="s">
        <v>490</v>
      </c>
      <c r="K17" s="20">
        <v>69.010000000000005</v>
      </c>
      <c r="N17">
        <f t="shared" si="0"/>
        <v>80621</v>
      </c>
      <c r="O17">
        <f>IF(AND(A17&gt;0,A17&lt;999),IFERROR(VLOOKUP(results0119[[#This Row],[Card]],U14M[],1,FALSE),0),0)</f>
        <v>80621</v>
      </c>
      <c r="P17">
        <f t="shared" si="1"/>
        <v>16</v>
      </c>
      <c r="Q17" s="5">
        <f t="shared" si="2"/>
        <v>21</v>
      </c>
      <c r="R17" s="5">
        <f t="shared" si="3"/>
        <v>20</v>
      </c>
    </row>
    <row r="18" spans="1:18" ht="14.45" x14ac:dyDescent="0.3">
      <c r="A18" s="13">
        <v>17</v>
      </c>
      <c r="B18" s="14">
        <v>76653</v>
      </c>
      <c r="C18" s="14">
        <v>83</v>
      </c>
      <c r="D18" s="15" t="s">
        <v>37</v>
      </c>
      <c r="E18" s="15" t="s">
        <v>38</v>
      </c>
      <c r="F18" s="14">
        <v>4</v>
      </c>
      <c r="G18" s="15" t="s">
        <v>16</v>
      </c>
      <c r="H18" s="15">
        <v>26.68</v>
      </c>
      <c r="I18" s="15">
        <v>28.16</v>
      </c>
      <c r="J18" s="15" t="s">
        <v>491</v>
      </c>
      <c r="K18" s="16">
        <v>71.75</v>
      </c>
      <c r="N18">
        <f t="shared" si="0"/>
        <v>76653</v>
      </c>
      <c r="O18">
        <f>IF(AND(A18&gt;0,A18&lt;999),IFERROR(VLOOKUP(results0119[[#This Row],[Card]],U14M[],1,FALSE),0),0)</f>
        <v>76653</v>
      </c>
      <c r="P18">
        <f t="shared" si="1"/>
        <v>17</v>
      </c>
      <c r="Q18" s="5">
        <f t="shared" si="2"/>
        <v>18</v>
      </c>
      <c r="R18" s="5">
        <f t="shared" si="3"/>
        <v>25</v>
      </c>
    </row>
    <row r="19" spans="1:18" ht="14.45" x14ac:dyDescent="0.3">
      <c r="A19" s="17">
        <v>18</v>
      </c>
      <c r="B19" s="18">
        <v>80824</v>
      </c>
      <c r="C19" s="18">
        <v>24</v>
      </c>
      <c r="D19" s="19" t="s">
        <v>80</v>
      </c>
      <c r="E19" s="19" t="s">
        <v>54</v>
      </c>
      <c r="F19" s="18">
        <v>4</v>
      </c>
      <c r="G19" s="19" t="s">
        <v>16</v>
      </c>
      <c r="H19" s="19">
        <v>26.47</v>
      </c>
      <c r="I19" s="19">
        <v>28.53</v>
      </c>
      <c r="J19" s="19" t="s">
        <v>492</v>
      </c>
      <c r="K19" s="20">
        <v>74.06</v>
      </c>
      <c r="N19">
        <f t="shared" si="0"/>
        <v>80824</v>
      </c>
      <c r="O19">
        <f>IF(AND(A19&gt;0,A19&lt;999),IFERROR(VLOOKUP(results0119[[#This Row],[Card]],U14M[],1,FALSE),0),0)</f>
        <v>80824</v>
      </c>
      <c r="P19">
        <f t="shared" si="1"/>
        <v>18</v>
      </c>
      <c r="Q19" s="5">
        <f t="shared" si="2"/>
        <v>16</v>
      </c>
      <c r="R19" s="5">
        <f t="shared" si="3"/>
        <v>32</v>
      </c>
    </row>
    <row r="20" spans="1:18" ht="14.45" x14ac:dyDescent="0.3">
      <c r="A20" s="13">
        <v>19</v>
      </c>
      <c r="B20" s="14">
        <v>80625</v>
      </c>
      <c r="C20" s="14">
        <v>49</v>
      </c>
      <c r="D20" s="15" t="s">
        <v>76</v>
      </c>
      <c r="E20" s="15" t="s">
        <v>19</v>
      </c>
      <c r="F20" s="14">
        <v>4</v>
      </c>
      <c r="G20" s="15" t="s">
        <v>16</v>
      </c>
      <c r="H20" s="15">
        <v>26.9</v>
      </c>
      <c r="I20" s="15">
        <v>28.27</v>
      </c>
      <c r="J20" s="15" t="s">
        <v>493</v>
      </c>
      <c r="K20" s="16">
        <v>76.52</v>
      </c>
      <c r="N20">
        <f t="shared" si="0"/>
        <v>80625</v>
      </c>
      <c r="O20">
        <f>IF(AND(A20&gt;0,A20&lt;999),IFERROR(VLOOKUP(results0119[[#This Row],[Card]],U14M[],1,FALSE),0),0)</f>
        <v>80625</v>
      </c>
      <c r="P20">
        <f t="shared" si="1"/>
        <v>19</v>
      </c>
      <c r="Q20" s="5">
        <f t="shared" si="2"/>
        <v>22</v>
      </c>
      <c r="R20" s="5">
        <f t="shared" si="3"/>
        <v>28</v>
      </c>
    </row>
    <row r="21" spans="1:18" ht="14.45" x14ac:dyDescent="0.3">
      <c r="A21" s="17">
        <v>20</v>
      </c>
      <c r="B21" s="18">
        <v>86113</v>
      </c>
      <c r="C21" s="18">
        <v>80</v>
      </c>
      <c r="D21" s="19" t="s">
        <v>142</v>
      </c>
      <c r="E21" s="19" t="s">
        <v>101</v>
      </c>
      <c r="F21" s="18">
        <v>5</v>
      </c>
      <c r="G21" s="19" t="s">
        <v>16</v>
      </c>
      <c r="H21" s="19">
        <v>26.96</v>
      </c>
      <c r="I21" s="19">
        <v>28.56</v>
      </c>
      <c r="J21" s="19" t="s">
        <v>161</v>
      </c>
      <c r="K21" s="20">
        <v>81.569999999999993</v>
      </c>
      <c r="N21">
        <f t="shared" si="0"/>
        <v>86113</v>
      </c>
      <c r="O21">
        <f>IF(AND(A21&gt;0,A21&lt;999),IFERROR(VLOOKUP(results0119[[#This Row],[Card]],U14M[],1,FALSE),0),0)</f>
        <v>86113</v>
      </c>
      <c r="P21">
        <f t="shared" si="1"/>
        <v>20</v>
      </c>
      <c r="Q21" s="5">
        <f t="shared" si="2"/>
        <v>23</v>
      </c>
      <c r="R21" s="5">
        <f t="shared" si="3"/>
        <v>33</v>
      </c>
    </row>
    <row r="22" spans="1:18" ht="14.45" x14ac:dyDescent="0.3">
      <c r="A22" s="13">
        <v>21</v>
      </c>
      <c r="B22" s="14">
        <v>80683</v>
      </c>
      <c r="C22" s="14">
        <v>95</v>
      </c>
      <c r="D22" s="15" t="s">
        <v>67</v>
      </c>
      <c r="E22" s="15" t="s">
        <v>15</v>
      </c>
      <c r="F22" s="14">
        <v>4</v>
      </c>
      <c r="G22" s="15" t="s">
        <v>16</v>
      </c>
      <c r="H22" s="15">
        <v>27.11</v>
      </c>
      <c r="I22" s="15">
        <v>28.58</v>
      </c>
      <c r="J22" s="15" t="s">
        <v>494</v>
      </c>
      <c r="K22" s="16">
        <v>84.03</v>
      </c>
      <c r="N22">
        <f t="shared" si="0"/>
        <v>80683</v>
      </c>
      <c r="O22">
        <f>IF(AND(A22&gt;0,A22&lt;999),IFERROR(VLOOKUP(results0119[[#This Row],[Card]],U14M[],1,FALSE),0),0)</f>
        <v>80683</v>
      </c>
      <c r="P22">
        <f t="shared" si="1"/>
        <v>21</v>
      </c>
      <c r="Q22" s="5">
        <f t="shared" si="2"/>
        <v>25</v>
      </c>
      <c r="R22" s="5">
        <f t="shared" si="3"/>
        <v>35</v>
      </c>
    </row>
    <row r="23" spans="1:18" ht="14.45" x14ac:dyDescent="0.3">
      <c r="A23" s="17">
        <v>22</v>
      </c>
      <c r="B23" s="18">
        <v>82314</v>
      </c>
      <c r="C23" s="18">
        <v>15</v>
      </c>
      <c r="D23" s="19" t="s">
        <v>78</v>
      </c>
      <c r="E23" s="19" t="s">
        <v>15</v>
      </c>
      <c r="F23" s="18">
        <v>4</v>
      </c>
      <c r="G23" s="19" t="s">
        <v>16</v>
      </c>
      <c r="H23" s="19">
        <v>27.46</v>
      </c>
      <c r="I23" s="19">
        <v>28.52</v>
      </c>
      <c r="J23" s="19" t="s">
        <v>495</v>
      </c>
      <c r="K23" s="20">
        <v>88.21</v>
      </c>
      <c r="N23">
        <f t="shared" si="0"/>
        <v>82314</v>
      </c>
      <c r="O23">
        <f>IF(AND(A23&gt;0,A23&lt;999),IFERROR(VLOOKUP(results0119[[#This Row],[Card]],U14M[],1,FALSE),0),0)</f>
        <v>82314</v>
      </c>
      <c r="P23">
        <f t="shared" si="1"/>
        <v>22</v>
      </c>
      <c r="Q23" s="5">
        <f t="shared" si="2"/>
        <v>29</v>
      </c>
      <c r="R23" s="5">
        <f t="shared" si="3"/>
        <v>31</v>
      </c>
    </row>
    <row r="24" spans="1:18" ht="14.45" x14ac:dyDescent="0.3">
      <c r="A24" s="13">
        <v>23</v>
      </c>
      <c r="B24" s="14">
        <v>85853</v>
      </c>
      <c r="C24" s="14">
        <v>81</v>
      </c>
      <c r="D24" s="15" t="s">
        <v>82</v>
      </c>
      <c r="E24" s="15" t="s">
        <v>15</v>
      </c>
      <c r="F24" s="14">
        <v>5</v>
      </c>
      <c r="G24" s="15" t="s">
        <v>16</v>
      </c>
      <c r="H24" s="15">
        <v>27.43</v>
      </c>
      <c r="I24" s="15">
        <v>28.61</v>
      </c>
      <c r="J24" s="15" t="s">
        <v>496</v>
      </c>
      <c r="K24" s="16">
        <v>89.08</v>
      </c>
      <c r="N24">
        <f t="shared" si="0"/>
        <v>85853</v>
      </c>
      <c r="O24">
        <f>IF(AND(A24&gt;0,A24&lt;999),IFERROR(VLOOKUP(results0119[[#This Row],[Card]],U14M[],1,FALSE),0),0)</f>
        <v>85853</v>
      </c>
      <c r="P24">
        <f t="shared" si="1"/>
        <v>23</v>
      </c>
      <c r="Q24" s="5">
        <f t="shared" si="2"/>
        <v>28</v>
      </c>
      <c r="R24" s="5">
        <f t="shared" si="3"/>
        <v>37</v>
      </c>
    </row>
    <row r="25" spans="1:18" ht="14.45" x14ac:dyDescent="0.3">
      <c r="A25" s="17">
        <v>24</v>
      </c>
      <c r="B25" s="18">
        <v>78276</v>
      </c>
      <c r="C25" s="18">
        <v>32</v>
      </c>
      <c r="D25" s="19" t="s">
        <v>92</v>
      </c>
      <c r="E25" s="19" t="s">
        <v>31</v>
      </c>
      <c r="F25" s="18">
        <v>4</v>
      </c>
      <c r="G25" s="19" t="s">
        <v>16</v>
      </c>
      <c r="H25" s="19">
        <v>27.6</v>
      </c>
      <c r="I25" s="19">
        <v>28.59</v>
      </c>
      <c r="J25" s="19" t="s">
        <v>497</v>
      </c>
      <c r="K25" s="20">
        <v>91.25</v>
      </c>
      <c r="N25">
        <f t="shared" si="0"/>
        <v>78276</v>
      </c>
      <c r="O25">
        <f>IF(AND(A25&gt;0,A25&lt;999),IFERROR(VLOOKUP(results0119[[#This Row],[Card]],U14M[],1,FALSE),0),0)</f>
        <v>78276</v>
      </c>
      <c r="P25">
        <f t="shared" si="1"/>
        <v>24</v>
      </c>
      <c r="Q25" s="5">
        <f t="shared" si="2"/>
        <v>30</v>
      </c>
      <c r="R25" s="5">
        <f t="shared" si="3"/>
        <v>36</v>
      </c>
    </row>
    <row r="26" spans="1:18" ht="14.45" x14ac:dyDescent="0.3">
      <c r="A26" s="13">
        <v>25</v>
      </c>
      <c r="B26" s="14">
        <v>81491</v>
      </c>
      <c r="C26" s="14">
        <v>19</v>
      </c>
      <c r="D26" s="15" t="s">
        <v>105</v>
      </c>
      <c r="E26" s="15" t="s">
        <v>22</v>
      </c>
      <c r="F26" s="14">
        <v>5</v>
      </c>
      <c r="G26" s="15" t="s">
        <v>16</v>
      </c>
      <c r="H26" s="15">
        <v>27.04</v>
      </c>
      <c r="I26" s="15">
        <v>29.53</v>
      </c>
      <c r="J26" s="15" t="s">
        <v>498</v>
      </c>
      <c r="K26" s="16">
        <v>96.73</v>
      </c>
      <c r="N26">
        <f t="shared" si="0"/>
        <v>81491</v>
      </c>
      <c r="O26">
        <f>IF(AND(A26&gt;0,A26&lt;999),IFERROR(VLOOKUP(results0119[[#This Row],[Card]],U14M[],1,FALSE),0),0)</f>
        <v>81491</v>
      </c>
      <c r="P26">
        <f t="shared" si="1"/>
        <v>25</v>
      </c>
      <c r="Q26" s="5">
        <f t="shared" si="2"/>
        <v>24</v>
      </c>
      <c r="R26" s="5">
        <f t="shared" si="3"/>
        <v>44</v>
      </c>
    </row>
    <row r="27" spans="1:18" ht="14.45" x14ac:dyDescent="0.3">
      <c r="A27" s="17">
        <v>26</v>
      </c>
      <c r="B27" s="18">
        <v>80718</v>
      </c>
      <c r="C27" s="18">
        <v>17</v>
      </c>
      <c r="D27" s="19" t="s">
        <v>94</v>
      </c>
      <c r="E27" s="19" t="s">
        <v>22</v>
      </c>
      <c r="F27" s="18">
        <v>4</v>
      </c>
      <c r="G27" s="19" t="s">
        <v>16</v>
      </c>
      <c r="H27" s="19">
        <v>27.16</v>
      </c>
      <c r="I27" s="19">
        <v>29.62</v>
      </c>
      <c r="J27" s="19" t="s">
        <v>183</v>
      </c>
      <c r="K27" s="20">
        <v>99.76</v>
      </c>
      <c r="N27">
        <f t="shared" si="0"/>
        <v>80718</v>
      </c>
      <c r="O27">
        <f>IF(AND(A27&gt;0,A27&lt;999),IFERROR(VLOOKUP(results0119[[#This Row],[Card]],U14M[],1,FALSE),0),0)</f>
        <v>80718</v>
      </c>
      <c r="P27">
        <f t="shared" si="1"/>
        <v>26</v>
      </c>
      <c r="Q27" s="5">
        <f t="shared" si="2"/>
        <v>27</v>
      </c>
      <c r="R27" s="5">
        <f t="shared" si="3"/>
        <v>46</v>
      </c>
    </row>
    <row r="28" spans="1:18" x14ac:dyDescent="0.25">
      <c r="A28" s="13">
        <v>27</v>
      </c>
      <c r="B28" s="14">
        <v>80629</v>
      </c>
      <c r="C28" s="14">
        <v>61</v>
      </c>
      <c r="D28" s="15" t="s">
        <v>144</v>
      </c>
      <c r="E28" s="15" t="s">
        <v>19</v>
      </c>
      <c r="F28" s="14">
        <v>5</v>
      </c>
      <c r="G28" s="15" t="s">
        <v>16</v>
      </c>
      <c r="H28" s="15">
        <v>27.82</v>
      </c>
      <c r="I28" s="15">
        <v>29.08</v>
      </c>
      <c r="J28" s="15" t="s">
        <v>499</v>
      </c>
      <c r="K28" s="16">
        <v>101.5</v>
      </c>
      <c r="N28">
        <f t="shared" si="0"/>
        <v>80629</v>
      </c>
      <c r="O28">
        <f>IF(AND(A28&gt;0,A28&lt;999),IFERROR(VLOOKUP(results0119[[#This Row],[Card]],U14M[],1,FALSE),0),0)</f>
        <v>80629</v>
      </c>
      <c r="P28">
        <f t="shared" si="1"/>
        <v>27</v>
      </c>
      <c r="Q28" s="5">
        <f t="shared" si="2"/>
        <v>34</v>
      </c>
      <c r="R28" s="5">
        <f t="shared" si="3"/>
        <v>41</v>
      </c>
    </row>
    <row r="29" spans="1:18" x14ac:dyDescent="0.25">
      <c r="A29" s="17">
        <v>28</v>
      </c>
      <c r="B29" s="18">
        <v>81481</v>
      </c>
      <c r="C29" s="18">
        <v>8</v>
      </c>
      <c r="D29" s="19" t="s">
        <v>182</v>
      </c>
      <c r="E29" s="19" t="s">
        <v>31</v>
      </c>
      <c r="F29" s="18">
        <v>4</v>
      </c>
      <c r="G29" s="19" t="s">
        <v>16</v>
      </c>
      <c r="H29" s="19">
        <v>27.15</v>
      </c>
      <c r="I29" s="19">
        <v>29.86</v>
      </c>
      <c r="J29" s="19" t="s">
        <v>500</v>
      </c>
      <c r="K29" s="20">
        <v>103.08</v>
      </c>
      <c r="N29">
        <f t="shared" si="0"/>
        <v>81481</v>
      </c>
      <c r="O29">
        <f>IF(AND(A29&gt;0,A29&lt;999),IFERROR(VLOOKUP(results0119[[#This Row],[Card]],U14M[],1,FALSE),0),0)</f>
        <v>81481</v>
      </c>
      <c r="P29">
        <f t="shared" si="1"/>
        <v>28</v>
      </c>
      <c r="Q29" s="5">
        <f t="shared" si="2"/>
        <v>26</v>
      </c>
      <c r="R29" s="5">
        <f t="shared" si="3"/>
        <v>48</v>
      </c>
    </row>
    <row r="30" spans="1:18" x14ac:dyDescent="0.25">
      <c r="A30" s="13">
        <v>29</v>
      </c>
      <c r="B30" s="14">
        <v>78164</v>
      </c>
      <c r="C30" s="14">
        <v>85</v>
      </c>
      <c r="D30" s="15" t="s">
        <v>129</v>
      </c>
      <c r="E30" s="15" t="s">
        <v>61</v>
      </c>
      <c r="F30" s="14">
        <v>5</v>
      </c>
      <c r="G30" s="15" t="s">
        <v>16</v>
      </c>
      <c r="H30" s="15">
        <v>27.66</v>
      </c>
      <c r="I30" s="15">
        <v>29.72</v>
      </c>
      <c r="J30" s="15" t="s">
        <v>501</v>
      </c>
      <c r="K30" s="16">
        <v>108.43</v>
      </c>
      <c r="N30">
        <f t="shared" si="0"/>
        <v>78164</v>
      </c>
      <c r="O30">
        <f>IF(AND(A30&gt;0,A30&lt;999),IFERROR(VLOOKUP(results0119[[#This Row],[Card]],U14M[],1,FALSE),0),0)</f>
        <v>78164</v>
      </c>
      <c r="P30">
        <f t="shared" si="1"/>
        <v>29</v>
      </c>
      <c r="Q30" s="5">
        <f t="shared" si="2"/>
        <v>31</v>
      </c>
      <c r="R30" s="5">
        <f t="shared" si="3"/>
        <v>47</v>
      </c>
    </row>
    <row r="31" spans="1:18" x14ac:dyDescent="0.25">
      <c r="A31" s="17">
        <v>30</v>
      </c>
      <c r="B31" s="18">
        <v>82328</v>
      </c>
      <c r="C31" s="18">
        <v>52</v>
      </c>
      <c r="D31" s="19" t="s">
        <v>137</v>
      </c>
      <c r="E31" s="19" t="s">
        <v>15</v>
      </c>
      <c r="F31" s="18">
        <v>4</v>
      </c>
      <c r="G31" s="19" t="s">
        <v>16</v>
      </c>
      <c r="H31" s="19">
        <v>27.81</v>
      </c>
      <c r="I31" s="19">
        <v>29.92</v>
      </c>
      <c r="J31" s="19" t="s">
        <v>502</v>
      </c>
      <c r="K31" s="20">
        <v>113.48</v>
      </c>
      <c r="N31">
        <f t="shared" si="0"/>
        <v>82328</v>
      </c>
      <c r="O31">
        <f>IF(AND(A31&gt;0,A31&lt;999),IFERROR(VLOOKUP(results0119[[#This Row],[Card]],U14M[],1,FALSE),0),0)</f>
        <v>82328</v>
      </c>
      <c r="P31">
        <f t="shared" si="1"/>
        <v>30</v>
      </c>
      <c r="Q31" s="5">
        <f t="shared" si="2"/>
        <v>33</v>
      </c>
      <c r="R31" s="5">
        <f t="shared" si="3"/>
        <v>49</v>
      </c>
    </row>
    <row r="32" spans="1:18" x14ac:dyDescent="0.25">
      <c r="A32" s="13">
        <v>31</v>
      </c>
      <c r="B32" s="14">
        <v>78610</v>
      </c>
      <c r="C32" s="14">
        <v>110</v>
      </c>
      <c r="D32" s="15" t="s">
        <v>133</v>
      </c>
      <c r="E32" s="15" t="s">
        <v>15</v>
      </c>
      <c r="F32" s="14">
        <v>5</v>
      </c>
      <c r="G32" s="15" t="s">
        <v>16</v>
      </c>
      <c r="H32" s="15">
        <v>28.95</v>
      </c>
      <c r="I32" s="15">
        <v>28.83</v>
      </c>
      <c r="J32" s="15" t="s">
        <v>503</v>
      </c>
      <c r="K32" s="16">
        <v>114.2</v>
      </c>
      <c r="N32">
        <f t="shared" si="0"/>
        <v>78610</v>
      </c>
      <c r="O32">
        <f>IF(AND(A32&gt;0,A32&lt;999),IFERROR(VLOOKUP(results0119[[#This Row],[Card]],U14M[],1,FALSE),0),0)</f>
        <v>78610</v>
      </c>
      <c r="P32">
        <f t="shared" si="1"/>
        <v>31</v>
      </c>
      <c r="Q32" s="5">
        <f t="shared" si="2"/>
        <v>43</v>
      </c>
      <c r="R32" s="5">
        <f t="shared" si="3"/>
        <v>38</v>
      </c>
    </row>
    <row r="33" spans="1:18" x14ac:dyDescent="0.25">
      <c r="A33" s="17">
        <v>32</v>
      </c>
      <c r="B33" s="18">
        <v>80828</v>
      </c>
      <c r="C33" s="18">
        <v>57</v>
      </c>
      <c r="D33" s="19" t="s">
        <v>88</v>
      </c>
      <c r="E33" s="19" t="s">
        <v>54</v>
      </c>
      <c r="F33" s="18">
        <v>5</v>
      </c>
      <c r="G33" s="19" t="s">
        <v>16</v>
      </c>
      <c r="H33" s="19">
        <v>28</v>
      </c>
      <c r="I33" s="19">
        <v>29.92</v>
      </c>
      <c r="J33" s="19" t="s">
        <v>504</v>
      </c>
      <c r="K33" s="20">
        <v>116.22</v>
      </c>
      <c r="N33">
        <f t="shared" si="0"/>
        <v>80828</v>
      </c>
      <c r="O33">
        <f>IF(AND(A33&gt;0,A33&lt;999),IFERROR(VLOOKUP(results0119[[#This Row],[Card]],U14M[],1,FALSE),0),0)</f>
        <v>80828</v>
      </c>
      <c r="P33">
        <f t="shared" si="1"/>
        <v>32</v>
      </c>
      <c r="Q33" s="5">
        <f t="shared" si="2"/>
        <v>35</v>
      </c>
      <c r="R33" s="5">
        <f t="shared" si="3"/>
        <v>49</v>
      </c>
    </row>
    <row r="34" spans="1:18" x14ac:dyDescent="0.25">
      <c r="A34" s="13">
        <v>33</v>
      </c>
      <c r="B34" s="14">
        <v>78165</v>
      </c>
      <c r="C34" s="14">
        <v>29</v>
      </c>
      <c r="D34" s="15" t="s">
        <v>119</v>
      </c>
      <c r="E34" s="15" t="s">
        <v>61</v>
      </c>
      <c r="F34" s="14">
        <v>4</v>
      </c>
      <c r="G34" s="15" t="s">
        <v>16</v>
      </c>
      <c r="H34" s="15">
        <v>28.39</v>
      </c>
      <c r="I34" s="15">
        <v>30.27</v>
      </c>
      <c r="J34" s="15" t="s">
        <v>505</v>
      </c>
      <c r="K34" s="16">
        <v>126.91</v>
      </c>
      <c r="N34">
        <f t="shared" ref="N34:N65" si="4">B34</f>
        <v>78165</v>
      </c>
      <c r="O34">
        <f>IF(AND(A34&gt;0,A34&lt;999),IFERROR(VLOOKUP(results0119[[#This Row],[Card]],U14M[],1,FALSE),0),0)</f>
        <v>78165</v>
      </c>
      <c r="P34">
        <f t="shared" ref="P34:P65" si="5">A34</f>
        <v>33</v>
      </c>
      <c r="Q34" s="5">
        <f t="shared" ref="Q34:Q65" si="6">IFERROR(_xlfn.RANK.EQ(H34,$H$2:$H$114,1),999)</f>
        <v>39</v>
      </c>
      <c r="R34" s="5">
        <f t="shared" ref="R34:R65" si="7">IFERROR(_xlfn.RANK.EQ(I34,$I$2:$I$114,1),999)</f>
        <v>57</v>
      </c>
    </row>
    <row r="35" spans="1:18" x14ac:dyDescent="0.25">
      <c r="A35" s="17">
        <v>34</v>
      </c>
      <c r="B35" s="18">
        <v>80714</v>
      </c>
      <c r="C35" s="18">
        <v>6</v>
      </c>
      <c r="D35" s="19" t="s">
        <v>152</v>
      </c>
      <c r="E35" s="19" t="s">
        <v>22</v>
      </c>
      <c r="F35" s="18">
        <v>5</v>
      </c>
      <c r="G35" s="19" t="s">
        <v>16</v>
      </c>
      <c r="H35" s="19">
        <v>28.23</v>
      </c>
      <c r="I35" s="19">
        <v>30.5</v>
      </c>
      <c r="J35" s="19" t="s">
        <v>506</v>
      </c>
      <c r="K35" s="20">
        <v>127.92</v>
      </c>
      <c r="N35">
        <f t="shared" si="4"/>
        <v>80714</v>
      </c>
      <c r="O35">
        <f>IF(AND(A35&gt;0,A35&lt;999),IFERROR(VLOOKUP(results0119[[#This Row],[Card]],U14M[],1,FALSE),0),0)</f>
        <v>80714</v>
      </c>
      <c r="P35">
        <f t="shared" si="5"/>
        <v>34</v>
      </c>
      <c r="Q35" s="5">
        <f t="shared" si="6"/>
        <v>38</v>
      </c>
      <c r="R35" s="5">
        <f t="shared" si="7"/>
        <v>61</v>
      </c>
    </row>
    <row r="36" spans="1:18" x14ac:dyDescent="0.25">
      <c r="A36" s="13">
        <v>35</v>
      </c>
      <c r="B36" s="14">
        <v>76572</v>
      </c>
      <c r="C36" s="14">
        <v>114</v>
      </c>
      <c r="D36" s="15" t="s">
        <v>109</v>
      </c>
      <c r="E36" s="15" t="s">
        <v>38</v>
      </c>
      <c r="F36" s="14">
        <v>4</v>
      </c>
      <c r="G36" s="15" t="s">
        <v>16</v>
      </c>
      <c r="H36" s="15">
        <v>28.69</v>
      </c>
      <c r="I36" s="15">
        <v>30.31</v>
      </c>
      <c r="J36" s="15" t="s">
        <v>507</v>
      </c>
      <c r="K36" s="16">
        <v>131.81</v>
      </c>
      <c r="N36">
        <f t="shared" si="4"/>
        <v>76572</v>
      </c>
      <c r="O36">
        <f>IF(AND(A36&gt;0,A36&lt;999),IFERROR(VLOOKUP(results0119[[#This Row],[Card]],U14M[],1,FALSE),0),0)</f>
        <v>76572</v>
      </c>
      <c r="P36">
        <f t="shared" si="5"/>
        <v>35</v>
      </c>
      <c r="Q36" s="5">
        <f t="shared" si="6"/>
        <v>41</v>
      </c>
      <c r="R36" s="5">
        <f t="shared" si="7"/>
        <v>58</v>
      </c>
    </row>
    <row r="37" spans="1:18" x14ac:dyDescent="0.25">
      <c r="A37" s="17">
        <v>36</v>
      </c>
      <c r="B37" s="18">
        <v>81139</v>
      </c>
      <c r="C37" s="18">
        <v>92</v>
      </c>
      <c r="D37" s="19" t="s">
        <v>177</v>
      </c>
      <c r="E37" s="19" t="s">
        <v>22</v>
      </c>
      <c r="F37" s="18">
        <v>4</v>
      </c>
      <c r="G37" s="19" t="s">
        <v>16</v>
      </c>
      <c r="H37" s="19">
        <v>28</v>
      </c>
      <c r="I37" s="19">
        <v>31.01</v>
      </c>
      <c r="J37" s="19" t="s">
        <v>508</v>
      </c>
      <c r="K37" s="20">
        <v>131.96</v>
      </c>
      <c r="N37">
        <f t="shared" si="4"/>
        <v>81139</v>
      </c>
      <c r="O37">
        <f>IF(AND(A37&gt;0,A37&lt;999),IFERROR(VLOOKUP(results0119[[#This Row],[Card]],U14M[],1,FALSE),0),0)</f>
        <v>81139</v>
      </c>
      <c r="P37">
        <f t="shared" si="5"/>
        <v>36</v>
      </c>
      <c r="Q37" s="5">
        <f t="shared" si="6"/>
        <v>35</v>
      </c>
      <c r="R37" s="5">
        <f t="shared" si="7"/>
        <v>69</v>
      </c>
    </row>
    <row r="38" spans="1:18" x14ac:dyDescent="0.25">
      <c r="A38" s="13">
        <v>37</v>
      </c>
      <c r="B38" s="14">
        <v>80690</v>
      </c>
      <c r="C38" s="14">
        <v>33</v>
      </c>
      <c r="D38" s="15" t="s">
        <v>148</v>
      </c>
      <c r="E38" s="15" t="s">
        <v>31</v>
      </c>
      <c r="F38" s="14">
        <v>5</v>
      </c>
      <c r="G38" s="15" t="s">
        <v>16</v>
      </c>
      <c r="H38" s="15">
        <v>29.43</v>
      </c>
      <c r="I38" s="15">
        <v>29.94</v>
      </c>
      <c r="J38" s="15" t="s">
        <v>509</v>
      </c>
      <c r="K38" s="16">
        <v>137.16</v>
      </c>
      <c r="N38">
        <f t="shared" si="4"/>
        <v>80690</v>
      </c>
      <c r="O38">
        <f>IF(AND(A38&gt;0,A38&lt;999),IFERROR(VLOOKUP(results0119[[#This Row],[Card]],U14M[],1,FALSE),0),0)</f>
        <v>80690</v>
      </c>
      <c r="P38">
        <f t="shared" si="5"/>
        <v>37</v>
      </c>
      <c r="Q38" s="5">
        <f t="shared" si="6"/>
        <v>49</v>
      </c>
      <c r="R38" s="5">
        <f t="shared" si="7"/>
        <v>51</v>
      </c>
    </row>
    <row r="39" spans="1:18" x14ac:dyDescent="0.25">
      <c r="A39" s="17">
        <v>38</v>
      </c>
      <c r="B39" s="18">
        <v>80662</v>
      </c>
      <c r="C39" s="18">
        <v>113</v>
      </c>
      <c r="D39" s="19" t="s">
        <v>158</v>
      </c>
      <c r="E39" s="19" t="s">
        <v>61</v>
      </c>
      <c r="F39" s="18">
        <v>4</v>
      </c>
      <c r="G39" s="19" t="s">
        <v>16</v>
      </c>
      <c r="H39" s="19">
        <v>29.23</v>
      </c>
      <c r="I39" s="19">
        <v>30.26</v>
      </c>
      <c r="J39" s="19" t="s">
        <v>510</v>
      </c>
      <c r="K39" s="20">
        <v>138.88999999999999</v>
      </c>
      <c r="N39">
        <f t="shared" si="4"/>
        <v>80662</v>
      </c>
      <c r="O39">
        <f>IF(AND(A39&gt;0,A39&lt;999),IFERROR(VLOOKUP(results0119[[#This Row],[Card]],U14M[],1,FALSE),0),0)</f>
        <v>80662</v>
      </c>
      <c r="P39">
        <f t="shared" si="5"/>
        <v>38</v>
      </c>
      <c r="Q39" s="5">
        <f t="shared" si="6"/>
        <v>46</v>
      </c>
      <c r="R39" s="5">
        <f t="shared" si="7"/>
        <v>55</v>
      </c>
    </row>
    <row r="40" spans="1:18" x14ac:dyDescent="0.25">
      <c r="A40" s="13">
        <v>39</v>
      </c>
      <c r="B40" s="14">
        <v>78398</v>
      </c>
      <c r="C40" s="14">
        <v>106</v>
      </c>
      <c r="D40" s="15" t="s">
        <v>156</v>
      </c>
      <c r="E40" s="15" t="s">
        <v>19</v>
      </c>
      <c r="F40" s="14">
        <v>4</v>
      </c>
      <c r="G40" s="15" t="s">
        <v>16</v>
      </c>
      <c r="H40" s="15">
        <v>29.25</v>
      </c>
      <c r="I40" s="15">
        <v>30.33</v>
      </c>
      <c r="J40" s="15" t="s">
        <v>511</v>
      </c>
      <c r="K40" s="16">
        <v>140.19</v>
      </c>
      <c r="N40">
        <f t="shared" si="4"/>
        <v>78398</v>
      </c>
      <c r="O40">
        <f>IF(AND(A40&gt;0,A40&lt;999),IFERROR(VLOOKUP(results0119[[#This Row],[Card]],U14M[],1,FALSE),0),0)</f>
        <v>78398</v>
      </c>
      <c r="P40">
        <f t="shared" si="5"/>
        <v>39</v>
      </c>
      <c r="Q40" s="5">
        <f t="shared" si="6"/>
        <v>47</v>
      </c>
      <c r="R40" s="5">
        <f t="shared" si="7"/>
        <v>59</v>
      </c>
    </row>
    <row r="41" spans="1:18" x14ac:dyDescent="0.25">
      <c r="A41" s="17">
        <v>40</v>
      </c>
      <c r="B41" s="18">
        <v>79148</v>
      </c>
      <c r="C41" s="18">
        <v>78</v>
      </c>
      <c r="D41" s="19" t="s">
        <v>191</v>
      </c>
      <c r="E41" s="19" t="s">
        <v>31</v>
      </c>
      <c r="F41" s="18">
        <v>4</v>
      </c>
      <c r="G41" s="19" t="s">
        <v>16</v>
      </c>
      <c r="H41" s="19">
        <v>29.45</v>
      </c>
      <c r="I41" s="19">
        <v>30.61</v>
      </c>
      <c r="J41" s="19" t="s">
        <v>512</v>
      </c>
      <c r="K41" s="20">
        <v>147.12</v>
      </c>
      <c r="N41">
        <f t="shared" si="4"/>
        <v>79148</v>
      </c>
      <c r="O41">
        <f>IF(AND(A41&gt;0,A41&lt;999),IFERROR(VLOOKUP(results0119[[#This Row],[Card]],U14M[],1,FALSE),0),0)</f>
        <v>79148</v>
      </c>
      <c r="P41">
        <f t="shared" si="5"/>
        <v>40</v>
      </c>
      <c r="Q41" s="5">
        <f t="shared" si="6"/>
        <v>50</v>
      </c>
      <c r="R41" s="5">
        <f t="shared" si="7"/>
        <v>63</v>
      </c>
    </row>
    <row r="42" spans="1:18" x14ac:dyDescent="0.25">
      <c r="A42" s="13">
        <v>41</v>
      </c>
      <c r="B42" s="14">
        <v>81810</v>
      </c>
      <c r="C42" s="14">
        <v>35</v>
      </c>
      <c r="D42" s="15" t="s">
        <v>329</v>
      </c>
      <c r="E42" s="15" t="s">
        <v>54</v>
      </c>
      <c r="F42" s="14">
        <v>4</v>
      </c>
      <c r="G42" s="15" t="s">
        <v>16</v>
      </c>
      <c r="H42" s="15">
        <v>29.12</v>
      </c>
      <c r="I42" s="15">
        <v>30.97</v>
      </c>
      <c r="J42" s="15" t="s">
        <v>513</v>
      </c>
      <c r="K42" s="16">
        <v>147.55000000000001</v>
      </c>
      <c r="N42">
        <f t="shared" si="4"/>
        <v>81810</v>
      </c>
      <c r="O42">
        <f>IF(AND(A42&gt;0,A42&lt;999),IFERROR(VLOOKUP(results0119[[#This Row],[Card]],U14M[],1,FALSE),0),0)</f>
        <v>81810</v>
      </c>
      <c r="P42">
        <f t="shared" si="5"/>
        <v>41</v>
      </c>
      <c r="Q42" s="5">
        <f t="shared" si="6"/>
        <v>45</v>
      </c>
      <c r="R42" s="5">
        <f t="shared" si="7"/>
        <v>68</v>
      </c>
    </row>
    <row r="43" spans="1:18" x14ac:dyDescent="0.25">
      <c r="A43" s="17">
        <v>42</v>
      </c>
      <c r="B43" s="18">
        <v>81705</v>
      </c>
      <c r="C43" s="18">
        <v>90</v>
      </c>
      <c r="D43" s="19" t="s">
        <v>165</v>
      </c>
      <c r="E43" s="19" t="s">
        <v>31</v>
      </c>
      <c r="F43" s="18">
        <v>4</v>
      </c>
      <c r="G43" s="19" t="s">
        <v>16</v>
      </c>
      <c r="H43" s="19">
        <v>29.95</v>
      </c>
      <c r="I43" s="19">
        <v>30.21</v>
      </c>
      <c r="J43" s="19" t="s">
        <v>514</v>
      </c>
      <c r="K43" s="20">
        <v>148.56</v>
      </c>
      <c r="N43">
        <f t="shared" si="4"/>
        <v>81705</v>
      </c>
      <c r="O43">
        <f>IF(AND(A43&gt;0,A43&lt;999),IFERROR(VLOOKUP(results0119[[#This Row],[Card]],U14M[],1,FALSE),0),0)</f>
        <v>81705</v>
      </c>
      <c r="P43">
        <f t="shared" si="5"/>
        <v>42</v>
      </c>
      <c r="Q43" s="5">
        <f t="shared" si="6"/>
        <v>53</v>
      </c>
      <c r="R43" s="5">
        <f t="shared" si="7"/>
        <v>54</v>
      </c>
    </row>
    <row r="44" spans="1:18" x14ac:dyDescent="0.25">
      <c r="A44" s="13">
        <v>43</v>
      </c>
      <c r="B44" s="14">
        <v>85772</v>
      </c>
      <c r="C44" s="14">
        <v>102</v>
      </c>
      <c r="D44" s="15" t="s">
        <v>196</v>
      </c>
      <c r="E44" s="15" t="s">
        <v>15</v>
      </c>
      <c r="F44" s="14">
        <v>5</v>
      </c>
      <c r="G44" s="15" t="s">
        <v>16</v>
      </c>
      <c r="H44" s="15">
        <v>29.26</v>
      </c>
      <c r="I44" s="15">
        <v>31.06</v>
      </c>
      <c r="J44" s="15" t="s">
        <v>515</v>
      </c>
      <c r="K44" s="16">
        <v>150.87</v>
      </c>
      <c r="N44">
        <f t="shared" si="4"/>
        <v>85772</v>
      </c>
      <c r="O44">
        <f>IF(AND(A44&gt;0,A44&lt;999),IFERROR(VLOOKUP(results0119[[#This Row],[Card]],U14M[],1,FALSE),0),0)</f>
        <v>85772</v>
      </c>
      <c r="P44">
        <f t="shared" si="5"/>
        <v>43</v>
      </c>
      <c r="Q44" s="5">
        <f t="shared" si="6"/>
        <v>48</v>
      </c>
      <c r="R44" s="5">
        <f t="shared" si="7"/>
        <v>70</v>
      </c>
    </row>
    <row r="45" spans="1:18" x14ac:dyDescent="0.25">
      <c r="A45" s="17">
        <v>44</v>
      </c>
      <c r="B45" s="18">
        <v>85454</v>
      </c>
      <c r="C45" s="18">
        <v>101</v>
      </c>
      <c r="D45" s="19" t="s">
        <v>218</v>
      </c>
      <c r="E45" s="19" t="s">
        <v>54</v>
      </c>
      <c r="F45" s="18">
        <v>5</v>
      </c>
      <c r="G45" s="19" t="s">
        <v>16</v>
      </c>
      <c r="H45" s="19">
        <v>29.45</v>
      </c>
      <c r="I45" s="19">
        <v>30.94</v>
      </c>
      <c r="J45" s="19" t="s">
        <v>516</v>
      </c>
      <c r="K45" s="20">
        <v>151.88</v>
      </c>
      <c r="N45">
        <f t="shared" si="4"/>
        <v>85454</v>
      </c>
      <c r="O45">
        <f>IF(AND(A45&gt;0,A45&lt;999),IFERROR(VLOOKUP(results0119[[#This Row],[Card]],U14M[],1,FALSE),0),0)</f>
        <v>85454</v>
      </c>
      <c r="P45">
        <f t="shared" si="5"/>
        <v>44</v>
      </c>
      <c r="Q45" s="5">
        <f t="shared" si="6"/>
        <v>50</v>
      </c>
      <c r="R45" s="5">
        <f t="shared" si="7"/>
        <v>67</v>
      </c>
    </row>
    <row r="46" spans="1:18" x14ac:dyDescent="0.25">
      <c r="A46" s="13">
        <v>45</v>
      </c>
      <c r="B46" s="14">
        <v>76864</v>
      </c>
      <c r="C46" s="14">
        <v>44</v>
      </c>
      <c r="D46" s="15" t="s">
        <v>107</v>
      </c>
      <c r="E46" s="15" t="s">
        <v>38</v>
      </c>
      <c r="F46" s="14">
        <v>4</v>
      </c>
      <c r="G46" s="15" t="s">
        <v>16</v>
      </c>
      <c r="H46" s="15">
        <v>29.55</v>
      </c>
      <c r="I46" s="15">
        <v>30.91</v>
      </c>
      <c r="J46" s="15" t="s">
        <v>517</v>
      </c>
      <c r="K46" s="16">
        <v>152.88999999999999</v>
      </c>
      <c r="N46">
        <f t="shared" si="4"/>
        <v>76864</v>
      </c>
      <c r="O46">
        <f>IF(AND(A46&gt;0,A46&lt;999),IFERROR(VLOOKUP(results0119[[#This Row],[Card]],U14M[],1,FALSE),0),0)</f>
        <v>76864</v>
      </c>
      <c r="P46">
        <f t="shared" si="5"/>
        <v>45</v>
      </c>
      <c r="Q46" s="5">
        <f t="shared" si="6"/>
        <v>52</v>
      </c>
      <c r="R46" s="5">
        <f t="shared" si="7"/>
        <v>66</v>
      </c>
    </row>
    <row r="47" spans="1:18" x14ac:dyDescent="0.25">
      <c r="A47" s="17">
        <v>46</v>
      </c>
      <c r="B47" s="18">
        <v>80724</v>
      </c>
      <c r="C47" s="18">
        <v>10</v>
      </c>
      <c r="D47" s="19" t="s">
        <v>167</v>
      </c>
      <c r="E47" s="19" t="s">
        <v>22</v>
      </c>
      <c r="F47" s="18">
        <v>4</v>
      </c>
      <c r="G47" s="19" t="s">
        <v>16</v>
      </c>
      <c r="H47" s="19">
        <v>28.69</v>
      </c>
      <c r="I47" s="19">
        <v>32.409999999999997</v>
      </c>
      <c r="J47" s="19" t="s">
        <v>518</v>
      </c>
      <c r="K47" s="20">
        <v>162.13</v>
      </c>
      <c r="N47">
        <f t="shared" si="4"/>
        <v>80724</v>
      </c>
      <c r="O47">
        <f>IF(AND(A47&gt;0,A47&lt;999),IFERROR(VLOOKUP(results0119[[#This Row],[Card]],U14M[],1,FALSE),0),0)</f>
        <v>80724</v>
      </c>
      <c r="P47">
        <f t="shared" si="5"/>
        <v>46</v>
      </c>
      <c r="Q47" s="5">
        <f t="shared" si="6"/>
        <v>41</v>
      </c>
      <c r="R47" s="5">
        <f t="shared" si="7"/>
        <v>76</v>
      </c>
    </row>
    <row r="48" spans="1:18" x14ac:dyDescent="0.25">
      <c r="A48" s="13">
        <v>47</v>
      </c>
      <c r="B48" s="14">
        <v>80720</v>
      </c>
      <c r="C48" s="14">
        <v>63</v>
      </c>
      <c r="D48" s="15" t="s">
        <v>98</v>
      </c>
      <c r="E48" s="15" t="s">
        <v>22</v>
      </c>
      <c r="F48" s="14">
        <v>5</v>
      </c>
      <c r="G48" s="15" t="s">
        <v>16</v>
      </c>
      <c r="H48" s="15">
        <v>34.14</v>
      </c>
      <c r="I48" s="15">
        <v>27.32</v>
      </c>
      <c r="J48" s="15" t="s">
        <v>519</v>
      </c>
      <c r="K48" s="16">
        <v>167.33</v>
      </c>
      <c r="N48">
        <f t="shared" si="4"/>
        <v>80720</v>
      </c>
      <c r="O48">
        <f>IF(AND(A48&gt;0,A48&lt;999),IFERROR(VLOOKUP(results0119[[#This Row],[Card]],U14M[],1,FALSE),0),0)</f>
        <v>80720</v>
      </c>
      <c r="P48">
        <f t="shared" si="5"/>
        <v>47</v>
      </c>
      <c r="Q48" s="5">
        <f t="shared" si="6"/>
        <v>70</v>
      </c>
      <c r="R48" s="5">
        <f t="shared" si="7"/>
        <v>15</v>
      </c>
    </row>
    <row r="49" spans="1:18" x14ac:dyDescent="0.25">
      <c r="A49" s="17">
        <v>48</v>
      </c>
      <c r="B49" s="18">
        <v>80630</v>
      </c>
      <c r="C49" s="18">
        <v>71</v>
      </c>
      <c r="D49" s="19" t="s">
        <v>188</v>
      </c>
      <c r="E49" s="19" t="s">
        <v>19</v>
      </c>
      <c r="F49" s="18">
        <v>4</v>
      </c>
      <c r="G49" s="19" t="s">
        <v>16</v>
      </c>
      <c r="H49" s="19">
        <v>30.41</v>
      </c>
      <c r="I49" s="19">
        <v>32.020000000000003</v>
      </c>
      <c r="J49" s="19" t="s">
        <v>520</v>
      </c>
      <c r="K49" s="20">
        <v>181.34</v>
      </c>
      <c r="N49">
        <f t="shared" si="4"/>
        <v>80630</v>
      </c>
      <c r="O49">
        <f>IF(AND(A49&gt;0,A49&lt;999),IFERROR(VLOOKUP(results0119[[#This Row],[Card]],U14M[],1,FALSE),0),0)</f>
        <v>80630</v>
      </c>
      <c r="P49">
        <f t="shared" si="5"/>
        <v>48</v>
      </c>
      <c r="Q49" s="5">
        <f t="shared" si="6"/>
        <v>56</v>
      </c>
      <c r="R49" s="5">
        <f t="shared" si="7"/>
        <v>74</v>
      </c>
    </row>
    <row r="50" spans="1:18" x14ac:dyDescent="0.25">
      <c r="A50" s="13">
        <v>49</v>
      </c>
      <c r="B50" s="14">
        <v>84722</v>
      </c>
      <c r="C50" s="14">
        <v>51</v>
      </c>
      <c r="D50" s="15" t="s">
        <v>169</v>
      </c>
      <c r="E50" s="15" t="s">
        <v>61</v>
      </c>
      <c r="F50" s="14">
        <v>4</v>
      </c>
      <c r="G50" s="15" t="s">
        <v>16</v>
      </c>
      <c r="H50" s="15">
        <v>30.52</v>
      </c>
      <c r="I50" s="15">
        <v>32.22</v>
      </c>
      <c r="J50" s="15" t="s">
        <v>521</v>
      </c>
      <c r="K50" s="16">
        <v>185.81</v>
      </c>
      <c r="N50">
        <f t="shared" si="4"/>
        <v>84722</v>
      </c>
      <c r="O50">
        <f>IF(AND(A50&gt;0,A50&lt;999),IFERROR(VLOOKUP(results0119[[#This Row],[Card]],U14M[],1,FALSE),0),0)</f>
        <v>84722</v>
      </c>
      <c r="P50">
        <f t="shared" si="5"/>
        <v>49</v>
      </c>
      <c r="Q50" s="5">
        <f t="shared" si="6"/>
        <v>58</v>
      </c>
      <c r="R50" s="5">
        <f t="shared" si="7"/>
        <v>75</v>
      </c>
    </row>
    <row r="51" spans="1:18" x14ac:dyDescent="0.25">
      <c r="A51" s="17">
        <v>50</v>
      </c>
      <c r="B51" s="18">
        <v>87999</v>
      </c>
      <c r="C51" s="18">
        <v>28</v>
      </c>
      <c r="D51" s="19" t="s">
        <v>179</v>
      </c>
      <c r="E51" s="19" t="s">
        <v>19</v>
      </c>
      <c r="F51" s="18">
        <v>5</v>
      </c>
      <c r="G51" s="19" t="s">
        <v>16</v>
      </c>
      <c r="H51" s="19">
        <v>30.5</v>
      </c>
      <c r="I51" s="19">
        <v>32.67</v>
      </c>
      <c r="J51" s="19" t="s">
        <v>522</v>
      </c>
      <c r="K51" s="20">
        <v>192.02</v>
      </c>
      <c r="N51">
        <f t="shared" si="4"/>
        <v>87999</v>
      </c>
      <c r="O51">
        <f>IF(AND(A51&gt;0,A51&lt;999),IFERROR(VLOOKUP(results0119[[#This Row],[Card]],U14M[],1,FALSE),0),0)</f>
        <v>87999</v>
      </c>
      <c r="P51">
        <f t="shared" si="5"/>
        <v>50</v>
      </c>
      <c r="Q51" s="5">
        <f t="shared" si="6"/>
        <v>57</v>
      </c>
      <c r="R51" s="5">
        <f t="shared" si="7"/>
        <v>77</v>
      </c>
    </row>
    <row r="52" spans="1:18" x14ac:dyDescent="0.25">
      <c r="A52" s="13">
        <v>51</v>
      </c>
      <c r="B52" s="14">
        <v>84868</v>
      </c>
      <c r="C52" s="14">
        <v>21</v>
      </c>
      <c r="D52" s="15" t="s">
        <v>312</v>
      </c>
      <c r="E52" s="15" t="s">
        <v>54</v>
      </c>
      <c r="F52" s="14">
        <v>5</v>
      </c>
      <c r="G52" s="15" t="s">
        <v>16</v>
      </c>
      <c r="H52" s="15">
        <v>30.39</v>
      </c>
      <c r="I52" s="15">
        <v>33.86</v>
      </c>
      <c r="J52" s="15" t="s">
        <v>523</v>
      </c>
      <c r="K52" s="16">
        <v>207.61</v>
      </c>
      <c r="N52">
        <f t="shared" si="4"/>
        <v>84868</v>
      </c>
      <c r="O52">
        <f>IF(AND(A52&gt;0,A52&lt;999),IFERROR(VLOOKUP(results0119[[#This Row],[Card]],U14M[],1,FALSE),0),0)</f>
        <v>84868</v>
      </c>
      <c r="P52">
        <f t="shared" si="5"/>
        <v>51</v>
      </c>
      <c r="Q52" s="5">
        <f t="shared" si="6"/>
        <v>55</v>
      </c>
      <c r="R52" s="5">
        <f t="shared" si="7"/>
        <v>84</v>
      </c>
    </row>
    <row r="53" spans="1:18" x14ac:dyDescent="0.25">
      <c r="A53" s="17">
        <v>52</v>
      </c>
      <c r="B53" s="18">
        <v>80830</v>
      </c>
      <c r="C53" s="18">
        <v>87</v>
      </c>
      <c r="D53" s="19" t="s">
        <v>217</v>
      </c>
      <c r="E53" s="19" t="s">
        <v>54</v>
      </c>
      <c r="F53" s="18">
        <v>5</v>
      </c>
      <c r="G53" s="19" t="s">
        <v>16</v>
      </c>
      <c r="H53" s="19">
        <v>31.8</v>
      </c>
      <c r="I53" s="19">
        <v>32.72</v>
      </c>
      <c r="J53" s="19" t="s">
        <v>524</v>
      </c>
      <c r="K53" s="20">
        <v>211.51</v>
      </c>
      <c r="N53">
        <f t="shared" si="4"/>
        <v>80830</v>
      </c>
      <c r="O53">
        <f>IF(AND(A53&gt;0,A53&lt;999),IFERROR(VLOOKUP(results0119[[#This Row],[Card]],U14M[],1,FALSE),0),0)</f>
        <v>80830</v>
      </c>
      <c r="P53">
        <f t="shared" si="5"/>
        <v>52</v>
      </c>
      <c r="Q53" s="5">
        <f t="shared" si="6"/>
        <v>62</v>
      </c>
      <c r="R53" s="5">
        <f t="shared" si="7"/>
        <v>78</v>
      </c>
    </row>
    <row r="54" spans="1:18" x14ac:dyDescent="0.25">
      <c r="A54" s="13">
        <v>53</v>
      </c>
      <c r="B54" s="14">
        <v>80627</v>
      </c>
      <c r="C54" s="14">
        <v>31</v>
      </c>
      <c r="D54" s="15" t="s">
        <v>222</v>
      </c>
      <c r="E54" s="15" t="s">
        <v>19</v>
      </c>
      <c r="F54" s="14">
        <v>5</v>
      </c>
      <c r="G54" s="15" t="s">
        <v>16</v>
      </c>
      <c r="H54" s="15">
        <v>31.36</v>
      </c>
      <c r="I54" s="15">
        <v>33.47</v>
      </c>
      <c r="J54" s="15" t="s">
        <v>525</v>
      </c>
      <c r="K54" s="16">
        <v>215.99</v>
      </c>
      <c r="N54">
        <f t="shared" si="4"/>
        <v>80627</v>
      </c>
      <c r="O54">
        <f>IF(AND(A54&gt;0,A54&lt;999),IFERROR(VLOOKUP(results0119[[#This Row],[Card]],U14M[],1,FALSE),0),0)</f>
        <v>80627</v>
      </c>
      <c r="P54">
        <f t="shared" si="5"/>
        <v>53</v>
      </c>
      <c r="Q54" s="5">
        <f t="shared" si="6"/>
        <v>60</v>
      </c>
      <c r="R54" s="5">
        <f t="shared" si="7"/>
        <v>80</v>
      </c>
    </row>
    <row r="55" spans="1:18" x14ac:dyDescent="0.25">
      <c r="A55" s="17">
        <v>54</v>
      </c>
      <c r="B55" s="18">
        <v>86207</v>
      </c>
      <c r="C55" s="18">
        <v>12</v>
      </c>
      <c r="D55" s="19" t="s">
        <v>294</v>
      </c>
      <c r="E55" s="19" t="s">
        <v>54</v>
      </c>
      <c r="F55" s="18">
        <v>5</v>
      </c>
      <c r="G55" s="19" t="s">
        <v>16</v>
      </c>
      <c r="H55" s="19">
        <v>31.47</v>
      </c>
      <c r="I55" s="19">
        <v>33.47</v>
      </c>
      <c r="J55" s="19" t="s">
        <v>526</v>
      </c>
      <c r="K55" s="20">
        <v>217.57</v>
      </c>
      <c r="N55">
        <f t="shared" si="4"/>
        <v>86207</v>
      </c>
      <c r="O55">
        <f>IF(AND(A55&gt;0,A55&lt;999),IFERROR(VLOOKUP(results0119[[#This Row],[Card]],U14M[],1,FALSE),0),0)</f>
        <v>86207</v>
      </c>
      <c r="P55">
        <f t="shared" si="5"/>
        <v>54</v>
      </c>
      <c r="Q55" s="5">
        <f t="shared" si="6"/>
        <v>61</v>
      </c>
      <c r="R55" s="5">
        <f t="shared" si="7"/>
        <v>80</v>
      </c>
    </row>
    <row r="56" spans="1:18" x14ac:dyDescent="0.25">
      <c r="A56" s="13">
        <v>55</v>
      </c>
      <c r="B56" s="14">
        <v>80807</v>
      </c>
      <c r="C56" s="14">
        <v>23</v>
      </c>
      <c r="D56" s="15" t="s">
        <v>298</v>
      </c>
      <c r="E56" s="15" t="s">
        <v>54</v>
      </c>
      <c r="F56" s="14">
        <v>5</v>
      </c>
      <c r="G56" s="15" t="s">
        <v>16</v>
      </c>
      <c r="H56" s="15">
        <v>32.07</v>
      </c>
      <c r="I56" s="15">
        <v>33.71</v>
      </c>
      <c r="J56" s="15" t="s">
        <v>527</v>
      </c>
      <c r="K56" s="16">
        <v>229.7</v>
      </c>
      <c r="N56">
        <f t="shared" si="4"/>
        <v>80807</v>
      </c>
      <c r="O56">
        <f>IF(AND(A56&gt;0,A56&lt;999),IFERROR(VLOOKUP(results0119[[#This Row],[Card]],U14M[],1,FALSE),0),0)</f>
        <v>80807</v>
      </c>
      <c r="P56">
        <f t="shared" si="5"/>
        <v>55</v>
      </c>
      <c r="Q56" s="5">
        <f t="shared" si="6"/>
        <v>63</v>
      </c>
      <c r="R56" s="5">
        <f t="shared" si="7"/>
        <v>82</v>
      </c>
    </row>
    <row r="57" spans="1:18" x14ac:dyDescent="0.25">
      <c r="A57" s="17">
        <v>56</v>
      </c>
      <c r="B57" s="18">
        <v>88381</v>
      </c>
      <c r="C57" s="18">
        <v>59</v>
      </c>
      <c r="D57" s="19" t="s">
        <v>181</v>
      </c>
      <c r="E57" s="19" t="s">
        <v>47</v>
      </c>
      <c r="F57" s="18">
        <v>5</v>
      </c>
      <c r="G57" s="19" t="s">
        <v>16</v>
      </c>
      <c r="H57" s="19">
        <v>32.479999999999997</v>
      </c>
      <c r="I57" s="19">
        <v>34.71</v>
      </c>
      <c r="J57" s="19" t="s">
        <v>528</v>
      </c>
      <c r="K57" s="20">
        <v>250.06</v>
      </c>
      <c r="N57">
        <f t="shared" si="4"/>
        <v>88381</v>
      </c>
      <c r="O57">
        <f>IF(AND(A57&gt;0,A57&lt;999),IFERROR(VLOOKUP(results0119[[#This Row],[Card]],U14M[],1,FALSE),0),0)</f>
        <v>88381</v>
      </c>
      <c r="P57">
        <f t="shared" si="5"/>
        <v>56</v>
      </c>
      <c r="Q57" s="5">
        <f t="shared" si="6"/>
        <v>65</v>
      </c>
      <c r="R57" s="5">
        <f t="shared" si="7"/>
        <v>91</v>
      </c>
    </row>
    <row r="58" spans="1:18" x14ac:dyDescent="0.25">
      <c r="A58" s="13">
        <v>57</v>
      </c>
      <c r="B58" s="14">
        <v>86128</v>
      </c>
      <c r="C58" s="14">
        <v>30</v>
      </c>
      <c r="D58" s="15" t="s">
        <v>461</v>
      </c>
      <c r="E58" s="15" t="s">
        <v>61</v>
      </c>
      <c r="F58" s="14">
        <v>5</v>
      </c>
      <c r="G58" s="15" t="s">
        <v>16</v>
      </c>
      <c r="H58" s="15">
        <v>32.33</v>
      </c>
      <c r="I58" s="15">
        <v>35.119999999999997</v>
      </c>
      <c r="J58" s="15" t="s">
        <v>529</v>
      </c>
      <c r="K58" s="16">
        <v>253.81</v>
      </c>
      <c r="N58">
        <f t="shared" si="4"/>
        <v>86128</v>
      </c>
      <c r="O58">
        <f>IF(AND(A58&gt;0,A58&lt;999),IFERROR(VLOOKUP(results0119[[#This Row],[Card]],U14M[],1,FALSE),0),0)</f>
        <v>86128</v>
      </c>
      <c r="P58">
        <f t="shared" si="5"/>
        <v>57</v>
      </c>
      <c r="Q58" s="5">
        <f t="shared" si="6"/>
        <v>64</v>
      </c>
      <c r="R58" s="5">
        <f t="shared" si="7"/>
        <v>92</v>
      </c>
    </row>
    <row r="59" spans="1:18" x14ac:dyDescent="0.25">
      <c r="A59" s="17">
        <v>58</v>
      </c>
      <c r="B59" s="18">
        <v>81781</v>
      </c>
      <c r="C59" s="18">
        <v>115</v>
      </c>
      <c r="D59" s="19" t="s">
        <v>200</v>
      </c>
      <c r="E59" s="19" t="s">
        <v>38</v>
      </c>
      <c r="F59" s="18">
        <v>5</v>
      </c>
      <c r="G59" s="19" t="s">
        <v>16</v>
      </c>
      <c r="H59" s="19">
        <v>34.01</v>
      </c>
      <c r="I59" s="19">
        <v>34.6</v>
      </c>
      <c r="J59" s="19" t="s">
        <v>530</v>
      </c>
      <c r="K59" s="20">
        <v>270.56</v>
      </c>
      <c r="N59">
        <f t="shared" si="4"/>
        <v>81781</v>
      </c>
      <c r="O59">
        <f>IF(AND(A59&gt;0,A59&lt;999),IFERROR(VLOOKUP(results0119[[#This Row],[Card]],U14M[],1,FALSE),0),0)</f>
        <v>81781</v>
      </c>
      <c r="P59">
        <f t="shared" si="5"/>
        <v>58</v>
      </c>
      <c r="Q59" s="5">
        <f t="shared" si="6"/>
        <v>69</v>
      </c>
      <c r="R59" s="5">
        <f t="shared" si="7"/>
        <v>89</v>
      </c>
    </row>
    <row r="60" spans="1:18" x14ac:dyDescent="0.25">
      <c r="A60" s="13">
        <v>59</v>
      </c>
      <c r="B60" s="14">
        <v>82442</v>
      </c>
      <c r="C60" s="14">
        <v>88</v>
      </c>
      <c r="D60" s="15" t="s">
        <v>204</v>
      </c>
      <c r="E60" s="15" t="s">
        <v>42</v>
      </c>
      <c r="F60" s="14">
        <v>5</v>
      </c>
      <c r="G60" s="15" t="s">
        <v>16</v>
      </c>
      <c r="H60" s="15">
        <v>34.31</v>
      </c>
      <c r="I60" s="15">
        <v>34.35</v>
      </c>
      <c r="J60" s="15" t="s">
        <v>213</v>
      </c>
      <c r="K60" s="16">
        <v>271.27999999999997</v>
      </c>
      <c r="N60">
        <f t="shared" si="4"/>
        <v>82442</v>
      </c>
      <c r="O60">
        <f>IF(AND(A60&gt;0,A60&lt;999),IFERROR(VLOOKUP(results0119[[#This Row],[Card]],U14M[],1,FALSE),0),0)</f>
        <v>82442</v>
      </c>
      <c r="P60">
        <f t="shared" si="5"/>
        <v>59</v>
      </c>
      <c r="Q60" s="5">
        <f t="shared" si="6"/>
        <v>71</v>
      </c>
      <c r="R60" s="5">
        <f t="shared" si="7"/>
        <v>88</v>
      </c>
    </row>
    <row r="61" spans="1:18" x14ac:dyDescent="0.25">
      <c r="A61" s="17">
        <v>60</v>
      </c>
      <c r="B61" s="18">
        <v>85950</v>
      </c>
      <c r="C61" s="18">
        <v>58</v>
      </c>
      <c r="D61" s="19" t="s">
        <v>206</v>
      </c>
      <c r="E61" s="19" t="s">
        <v>31</v>
      </c>
      <c r="F61" s="18">
        <v>4</v>
      </c>
      <c r="G61" s="19" t="s">
        <v>16</v>
      </c>
      <c r="H61" s="19">
        <v>32.75</v>
      </c>
      <c r="I61" s="19">
        <v>36.11</v>
      </c>
      <c r="J61" s="19" t="s">
        <v>531</v>
      </c>
      <c r="K61" s="20">
        <v>274.17</v>
      </c>
      <c r="N61">
        <f t="shared" si="4"/>
        <v>85950</v>
      </c>
      <c r="O61">
        <f>IF(AND(A61&gt;0,A61&lt;999),IFERROR(VLOOKUP(results0119[[#This Row],[Card]],U14M[],1,FALSE),0),0)</f>
        <v>85950</v>
      </c>
      <c r="P61">
        <f t="shared" si="5"/>
        <v>60</v>
      </c>
      <c r="Q61" s="5">
        <f t="shared" si="6"/>
        <v>66</v>
      </c>
      <c r="R61" s="5">
        <f t="shared" si="7"/>
        <v>93</v>
      </c>
    </row>
    <row r="62" spans="1:18" x14ac:dyDescent="0.25">
      <c r="A62" s="13">
        <v>61</v>
      </c>
      <c r="B62" s="14">
        <v>81801</v>
      </c>
      <c r="C62" s="14">
        <v>72</v>
      </c>
      <c r="D62" s="15" t="s">
        <v>208</v>
      </c>
      <c r="E62" s="15" t="s">
        <v>61</v>
      </c>
      <c r="F62" s="14">
        <v>5</v>
      </c>
      <c r="G62" s="15" t="s">
        <v>16</v>
      </c>
      <c r="H62" s="15">
        <v>33.229999999999997</v>
      </c>
      <c r="I62" s="15">
        <v>36.46</v>
      </c>
      <c r="J62" s="15" t="s">
        <v>532</v>
      </c>
      <c r="K62" s="16">
        <v>286.14999999999998</v>
      </c>
      <c r="N62">
        <f t="shared" si="4"/>
        <v>81801</v>
      </c>
      <c r="O62">
        <f>IF(AND(A62&gt;0,A62&lt;999),IFERROR(VLOOKUP(results0119[[#This Row],[Card]],U14M[],1,FALSE),0),0)</f>
        <v>81801</v>
      </c>
      <c r="P62">
        <f t="shared" si="5"/>
        <v>61</v>
      </c>
      <c r="Q62" s="5">
        <f t="shared" si="6"/>
        <v>67</v>
      </c>
      <c r="R62" s="5">
        <f t="shared" si="7"/>
        <v>95</v>
      </c>
    </row>
    <row r="63" spans="1:18" x14ac:dyDescent="0.25">
      <c r="A63" s="17">
        <v>62</v>
      </c>
      <c r="B63" s="18">
        <v>78504</v>
      </c>
      <c r="C63" s="18">
        <v>36</v>
      </c>
      <c r="D63" s="19" t="s">
        <v>210</v>
      </c>
      <c r="E63" s="19" t="s">
        <v>19</v>
      </c>
      <c r="F63" s="18">
        <v>5</v>
      </c>
      <c r="G63" s="19" t="s">
        <v>16</v>
      </c>
      <c r="H63" s="19">
        <v>33.67</v>
      </c>
      <c r="I63" s="19">
        <v>36.26</v>
      </c>
      <c r="J63" s="19" t="s">
        <v>533</v>
      </c>
      <c r="K63" s="20">
        <v>289.62</v>
      </c>
      <c r="N63">
        <f t="shared" si="4"/>
        <v>78504</v>
      </c>
      <c r="O63">
        <f>IF(AND(A63&gt;0,A63&lt;999),IFERROR(VLOOKUP(results0119[[#This Row],[Card]],U14M[],1,FALSE),0),0)</f>
        <v>78504</v>
      </c>
      <c r="P63">
        <f t="shared" si="5"/>
        <v>62</v>
      </c>
      <c r="Q63" s="5">
        <f t="shared" si="6"/>
        <v>68</v>
      </c>
      <c r="R63" s="5">
        <f t="shared" si="7"/>
        <v>94</v>
      </c>
    </row>
    <row r="64" spans="1:18" x14ac:dyDescent="0.25">
      <c r="A64" s="13">
        <v>999</v>
      </c>
      <c r="B64" s="14">
        <v>81112</v>
      </c>
      <c r="C64" s="14">
        <v>82</v>
      </c>
      <c r="D64" s="15" t="s">
        <v>63</v>
      </c>
      <c r="E64" s="15" t="s">
        <v>22</v>
      </c>
      <c r="F64" s="14">
        <v>4</v>
      </c>
      <c r="G64" s="15" t="s">
        <v>16</v>
      </c>
      <c r="H64" s="15" t="s">
        <v>215</v>
      </c>
      <c r="I64" s="15"/>
      <c r="J64" s="15"/>
      <c r="K64" s="16">
        <v>0</v>
      </c>
      <c r="N64">
        <f t="shared" si="4"/>
        <v>81112</v>
      </c>
      <c r="O64">
        <f>IF(AND(A64&gt;0,A64&lt;999),IFERROR(VLOOKUP(results0119[[#This Row],[Card]],U14M[],1,FALSE),0),0)</f>
        <v>0</v>
      </c>
      <c r="P64">
        <f t="shared" si="5"/>
        <v>999</v>
      </c>
      <c r="Q64" s="5">
        <f t="shared" si="6"/>
        <v>999</v>
      </c>
      <c r="R64" s="5">
        <f t="shared" si="7"/>
        <v>999</v>
      </c>
    </row>
    <row r="65" spans="1:18" x14ac:dyDescent="0.25">
      <c r="A65" s="17">
        <v>999</v>
      </c>
      <c r="B65" s="18">
        <v>81740</v>
      </c>
      <c r="C65" s="18">
        <v>76</v>
      </c>
      <c r="D65" s="19" t="s">
        <v>160</v>
      </c>
      <c r="E65" s="19" t="s">
        <v>31</v>
      </c>
      <c r="F65" s="18">
        <v>4</v>
      </c>
      <c r="G65" s="19" t="s">
        <v>16</v>
      </c>
      <c r="H65" s="19" t="s">
        <v>215</v>
      </c>
      <c r="I65" s="19"/>
      <c r="J65" s="19"/>
      <c r="K65" s="20">
        <v>0</v>
      </c>
      <c r="N65">
        <f t="shared" si="4"/>
        <v>81740</v>
      </c>
      <c r="O65">
        <f>IF(AND(A65&gt;0,A65&lt;999),IFERROR(VLOOKUP(results0119[[#This Row],[Card]],U14M[],1,FALSE),0),0)</f>
        <v>0</v>
      </c>
      <c r="P65">
        <f t="shared" si="5"/>
        <v>999</v>
      </c>
      <c r="Q65" s="5">
        <f t="shared" si="6"/>
        <v>999</v>
      </c>
      <c r="R65" s="5">
        <f t="shared" si="7"/>
        <v>999</v>
      </c>
    </row>
    <row r="66" spans="1:18" x14ac:dyDescent="0.25">
      <c r="A66" s="13">
        <v>999</v>
      </c>
      <c r="B66" s="14">
        <v>81081</v>
      </c>
      <c r="C66" s="14">
        <v>96</v>
      </c>
      <c r="D66" s="15" t="s">
        <v>330</v>
      </c>
      <c r="E66" s="15" t="s">
        <v>31</v>
      </c>
      <c r="F66" s="14">
        <v>5</v>
      </c>
      <c r="G66" s="15" t="s">
        <v>16</v>
      </c>
      <c r="H66" s="15" t="s">
        <v>215</v>
      </c>
      <c r="I66" s="15"/>
      <c r="J66" s="15"/>
      <c r="K66" s="16">
        <v>0</v>
      </c>
      <c r="N66">
        <f t="shared" ref="N66:N97" si="8">B66</f>
        <v>81081</v>
      </c>
      <c r="O66">
        <f>IF(AND(A66&gt;0,A66&lt;999),IFERROR(VLOOKUP(results0119[[#This Row],[Card]],U14M[],1,FALSE),0),0)</f>
        <v>0</v>
      </c>
      <c r="P66">
        <f t="shared" ref="P66:P97" si="9">A66</f>
        <v>999</v>
      </c>
      <c r="Q66" s="5">
        <f t="shared" ref="Q66:Q97" si="10">IFERROR(_xlfn.RANK.EQ(H66,$H$2:$H$114,1),999)</f>
        <v>999</v>
      </c>
      <c r="R66" s="5">
        <f t="shared" ref="R66:R97" si="11">IFERROR(_xlfn.RANK.EQ(I66,$I$2:$I$114,1),999)</f>
        <v>999</v>
      </c>
    </row>
    <row r="67" spans="1:18" x14ac:dyDescent="0.25">
      <c r="A67" s="17">
        <v>999</v>
      </c>
      <c r="B67" s="18">
        <v>87073</v>
      </c>
      <c r="C67" s="18">
        <v>79</v>
      </c>
      <c r="D67" s="19" t="s">
        <v>470</v>
      </c>
      <c r="E67" s="19" t="s">
        <v>47</v>
      </c>
      <c r="F67" s="18">
        <v>5</v>
      </c>
      <c r="G67" s="19" t="s">
        <v>16</v>
      </c>
      <c r="H67" s="19" t="s">
        <v>215</v>
      </c>
      <c r="I67" s="19"/>
      <c r="J67" s="19"/>
      <c r="K67" s="20">
        <v>0</v>
      </c>
      <c r="N67">
        <f t="shared" si="8"/>
        <v>87073</v>
      </c>
      <c r="O67">
        <f>IF(AND(A67&gt;0,A67&lt;999),IFERROR(VLOOKUP(results0119[[#This Row],[Card]],U14M[],1,FALSE),0),0)</f>
        <v>0</v>
      </c>
      <c r="P67">
        <f t="shared" si="9"/>
        <v>999</v>
      </c>
      <c r="Q67" s="5">
        <f t="shared" si="10"/>
        <v>999</v>
      </c>
      <c r="R67" s="5">
        <f t="shared" si="11"/>
        <v>999</v>
      </c>
    </row>
    <row r="68" spans="1:18" x14ac:dyDescent="0.25">
      <c r="A68" s="13">
        <v>999</v>
      </c>
      <c r="B68" s="14">
        <v>80722</v>
      </c>
      <c r="C68" s="14">
        <v>67</v>
      </c>
      <c r="D68" s="15" t="s">
        <v>33</v>
      </c>
      <c r="E68" s="15" t="s">
        <v>22</v>
      </c>
      <c r="F68" s="14">
        <v>4</v>
      </c>
      <c r="G68" s="15" t="s">
        <v>16</v>
      </c>
      <c r="H68" s="15" t="s">
        <v>220</v>
      </c>
      <c r="I68" s="15">
        <v>27.26</v>
      </c>
      <c r="J68" s="15"/>
      <c r="K68" s="16">
        <v>0</v>
      </c>
      <c r="N68">
        <f t="shared" si="8"/>
        <v>80722</v>
      </c>
      <c r="O68">
        <f>IF(AND(A68&gt;0,A68&lt;999),IFERROR(VLOOKUP(results0119[[#This Row],[Card]],U14M[],1,FALSE),0),0)</f>
        <v>0</v>
      </c>
      <c r="P68">
        <f t="shared" si="9"/>
        <v>999</v>
      </c>
      <c r="Q68" s="5">
        <f t="shared" si="10"/>
        <v>999</v>
      </c>
      <c r="R68" s="5">
        <f t="shared" si="11"/>
        <v>14</v>
      </c>
    </row>
    <row r="69" spans="1:18" x14ac:dyDescent="0.25">
      <c r="A69" s="17">
        <v>999</v>
      </c>
      <c r="B69" s="18">
        <v>85235</v>
      </c>
      <c r="C69" s="18">
        <v>89</v>
      </c>
      <c r="D69" s="19" t="s">
        <v>46</v>
      </c>
      <c r="E69" s="19" t="s">
        <v>47</v>
      </c>
      <c r="F69" s="18">
        <v>4</v>
      </c>
      <c r="G69" s="19" t="s">
        <v>16</v>
      </c>
      <c r="H69" s="19" t="s">
        <v>220</v>
      </c>
      <c r="I69" s="19">
        <v>28.01</v>
      </c>
      <c r="J69" s="19"/>
      <c r="K69" s="20">
        <v>0</v>
      </c>
      <c r="N69">
        <f t="shared" si="8"/>
        <v>85235</v>
      </c>
      <c r="O69">
        <f>IF(AND(A69&gt;0,A69&lt;999),IFERROR(VLOOKUP(results0119[[#This Row],[Card]],U14M[],1,FALSE),0),0)</f>
        <v>0</v>
      </c>
      <c r="P69">
        <f t="shared" si="9"/>
        <v>999</v>
      </c>
      <c r="Q69" s="5">
        <f t="shared" si="10"/>
        <v>999</v>
      </c>
      <c r="R69" s="5">
        <f t="shared" si="11"/>
        <v>23</v>
      </c>
    </row>
    <row r="70" spans="1:18" x14ac:dyDescent="0.25">
      <c r="A70" s="13">
        <v>999</v>
      </c>
      <c r="B70" s="14">
        <v>77422</v>
      </c>
      <c r="C70" s="14">
        <v>66</v>
      </c>
      <c r="D70" s="15" t="s">
        <v>84</v>
      </c>
      <c r="E70" s="15" t="s">
        <v>54</v>
      </c>
      <c r="F70" s="14">
        <v>4</v>
      </c>
      <c r="G70" s="15" t="s">
        <v>16</v>
      </c>
      <c r="H70" s="15" t="s">
        <v>220</v>
      </c>
      <c r="I70" s="15">
        <v>28.26</v>
      </c>
      <c r="J70" s="15"/>
      <c r="K70" s="16">
        <v>0</v>
      </c>
      <c r="N70">
        <f t="shared" si="8"/>
        <v>77422</v>
      </c>
      <c r="O70">
        <f>IF(AND(A70&gt;0,A70&lt;999),IFERROR(VLOOKUP(results0119[[#This Row],[Card]],U14M[],1,FALSE),0),0)</f>
        <v>0</v>
      </c>
      <c r="P70">
        <f t="shared" si="9"/>
        <v>999</v>
      </c>
      <c r="Q70" s="5">
        <f t="shared" si="10"/>
        <v>999</v>
      </c>
      <c r="R70" s="5">
        <f t="shared" si="11"/>
        <v>27</v>
      </c>
    </row>
    <row r="71" spans="1:18" x14ac:dyDescent="0.25">
      <c r="A71" s="17">
        <v>999</v>
      </c>
      <c r="B71" s="18">
        <v>78181</v>
      </c>
      <c r="C71" s="18">
        <v>13</v>
      </c>
      <c r="D71" s="19" t="s">
        <v>138</v>
      </c>
      <c r="E71" s="19" t="s">
        <v>61</v>
      </c>
      <c r="F71" s="18">
        <v>4</v>
      </c>
      <c r="G71" s="19" t="s">
        <v>16</v>
      </c>
      <c r="H71" s="19" t="s">
        <v>220</v>
      </c>
      <c r="I71" s="19">
        <v>31.89</v>
      </c>
      <c r="J71" s="19"/>
      <c r="K71" s="20">
        <v>0</v>
      </c>
      <c r="N71">
        <f t="shared" si="8"/>
        <v>78181</v>
      </c>
      <c r="O71">
        <f>IF(AND(A71&gt;0,A71&lt;999),IFERROR(VLOOKUP(results0119[[#This Row],[Card]],U14M[],1,FALSE),0),0)</f>
        <v>0</v>
      </c>
      <c r="P71">
        <f t="shared" si="9"/>
        <v>999</v>
      </c>
      <c r="Q71" s="5">
        <f t="shared" si="10"/>
        <v>999</v>
      </c>
      <c r="R71" s="5">
        <f t="shared" si="11"/>
        <v>73</v>
      </c>
    </row>
    <row r="72" spans="1:18" x14ac:dyDescent="0.25">
      <c r="A72" s="13">
        <v>999</v>
      </c>
      <c r="B72" s="14">
        <v>80682</v>
      </c>
      <c r="C72" s="14">
        <v>26</v>
      </c>
      <c r="D72" s="15" t="s">
        <v>135</v>
      </c>
      <c r="E72" s="15" t="s">
        <v>15</v>
      </c>
      <c r="F72" s="14">
        <v>4</v>
      </c>
      <c r="G72" s="15" t="s">
        <v>16</v>
      </c>
      <c r="H72" s="15" t="s">
        <v>220</v>
      </c>
      <c r="I72" s="15">
        <v>30.68</v>
      </c>
      <c r="J72" s="15"/>
      <c r="K72" s="16">
        <v>0</v>
      </c>
      <c r="N72">
        <f t="shared" si="8"/>
        <v>80682</v>
      </c>
      <c r="O72">
        <f>IF(AND(A72&gt;0,A72&lt;999),IFERROR(VLOOKUP(results0119[[#This Row],[Card]],U14M[],1,FALSE),0),0)</f>
        <v>0</v>
      </c>
      <c r="P72">
        <f t="shared" si="9"/>
        <v>999</v>
      </c>
      <c r="Q72" s="5">
        <f t="shared" si="10"/>
        <v>999</v>
      </c>
      <c r="R72" s="5">
        <f t="shared" si="11"/>
        <v>64</v>
      </c>
    </row>
    <row r="73" spans="1:18" x14ac:dyDescent="0.25">
      <c r="A73" s="17">
        <v>999</v>
      </c>
      <c r="B73" s="18">
        <v>78178</v>
      </c>
      <c r="C73" s="18">
        <v>56</v>
      </c>
      <c r="D73" s="19" t="s">
        <v>194</v>
      </c>
      <c r="E73" s="19" t="s">
        <v>61</v>
      </c>
      <c r="F73" s="18">
        <v>4</v>
      </c>
      <c r="G73" s="19" t="s">
        <v>16</v>
      </c>
      <c r="H73" s="19" t="s">
        <v>220</v>
      </c>
      <c r="I73" s="19">
        <v>30.9</v>
      </c>
      <c r="J73" s="19"/>
      <c r="K73" s="20">
        <v>0</v>
      </c>
      <c r="N73">
        <f t="shared" si="8"/>
        <v>78178</v>
      </c>
      <c r="O73">
        <f>IF(AND(A73&gt;0,A73&lt;999),IFERROR(VLOOKUP(results0119[[#This Row],[Card]],U14M[],1,FALSE),0),0)</f>
        <v>0</v>
      </c>
      <c r="P73">
        <f t="shared" si="9"/>
        <v>999</v>
      </c>
      <c r="Q73" s="5">
        <f t="shared" si="10"/>
        <v>999</v>
      </c>
      <c r="R73" s="5">
        <f t="shared" si="11"/>
        <v>65</v>
      </c>
    </row>
    <row r="74" spans="1:18" x14ac:dyDescent="0.25">
      <c r="A74" s="13">
        <v>999</v>
      </c>
      <c r="B74" s="14">
        <v>80618</v>
      </c>
      <c r="C74" s="14">
        <v>27</v>
      </c>
      <c r="D74" s="15" t="s">
        <v>123</v>
      </c>
      <c r="E74" s="15" t="s">
        <v>19</v>
      </c>
      <c r="F74" s="14">
        <v>4</v>
      </c>
      <c r="G74" s="15" t="s">
        <v>16</v>
      </c>
      <c r="H74" s="15" t="s">
        <v>220</v>
      </c>
      <c r="I74" s="15">
        <v>29.97</v>
      </c>
      <c r="J74" s="15"/>
      <c r="K74" s="16">
        <v>0</v>
      </c>
      <c r="N74">
        <f t="shared" si="8"/>
        <v>80618</v>
      </c>
      <c r="O74">
        <f>IF(AND(A74&gt;0,A74&lt;999),IFERROR(VLOOKUP(results0119[[#This Row],[Card]],U14M[],1,FALSE),0),0)</f>
        <v>0</v>
      </c>
      <c r="P74">
        <f t="shared" si="9"/>
        <v>999</v>
      </c>
      <c r="Q74" s="5">
        <f t="shared" si="10"/>
        <v>999</v>
      </c>
      <c r="R74" s="5">
        <f t="shared" si="11"/>
        <v>52</v>
      </c>
    </row>
    <row r="75" spans="1:18" x14ac:dyDescent="0.25">
      <c r="A75" s="17">
        <v>999</v>
      </c>
      <c r="B75" s="18">
        <v>86143</v>
      </c>
      <c r="C75" s="18">
        <v>107</v>
      </c>
      <c r="D75" s="19" t="s">
        <v>125</v>
      </c>
      <c r="E75" s="19" t="s">
        <v>42</v>
      </c>
      <c r="F75" s="18">
        <v>4</v>
      </c>
      <c r="G75" s="19" t="s">
        <v>16</v>
      </c>
      <c r="H75" s="19" t="s">
        <v>220</v>
      </c>
      <c r="I75" s="19">
        <v>28.25</v>
      </c>
      <c r="J75" s="19"/>
      <c r="K75" s="20">
        <v>0</v>
      </c>
      <c r="N75">
        <f t="shared" si="8"/>
        <v>86143</v>
      </c>
      <c r="O75">
        <f>IF(AND(A75&gt;0,A75&lt;999),IFERROR(VLOOKUP(results0119[[#This Row],[Card]],U14M[],1,FALSE),0),0)</f>
        <v>0</v>
      </c>
      <c r="P75">
        <f t="shared" si="9"/>
        <v>999</v>
      </c>
      <c r="Q75" s="5">
        <f t="shared" si="10"/>
        <v>999</v>
      </c>
      <c r="R75" s="5">
        <f t="shared" si="11"/>
        <v>26</v>
      </c>
    </row>
    <row r="76" spans="1:18" x14ac:dyDescent="0.25">
      <c r="A76" s="13">
        <v>999</v>
      </c>
      <c r="B76" s="14">
        <v>85546</v>
      </c>
      <c r="C76" s="14">
        <v>108</v>
      </c>
      <c r="D76" s="15" t="s">
        <v>221</v>
      </c>
      <c r="E76" s="15" t="s">
        <v>117</v>
      </c>
      <c r="F76" s="14">
        <v>4</v>
      </c>
      <c r="G76" s="15" t="s">
        <v>16</v>
      </c>
      <c r="H76" s="15" t="s">
        <v>220</v>
      </c>
      <c r="I76" s="15">
        <v>34.31</v>
      </c>
      <c r="J76" s="15"/>
      <c r="K76" s="16">
        <v>0</v>
      </c>
      <c r="N76">
        <f t="shared" si="8"/>
        <v>85546</v>
      </c>
      <c r="O76">
        <f>IF(AND(A76&gt;0,A76&lt;999),IFERROR(VLOOKUP(results0119[[#This Row],[Card]],U14M[],1,FALSE),0),0)</f>
        <v>0</v>
      </c>
      <c r="P76">
        <f t="shared" si="9"/>
        <v>999</v>
      </c>
      <c r="Q76" s="5">
        <f t="shared" si="10"/>
        <v>999</v>
      </c>
      <c r="R76" s="5">
        <f t="shared" si="11"/>
        <v>87</v>
      </c>
    </row>
    <row r="77" spans="1:18" x14ac:dyDescent="0.25">
      <c r="A77" s="17">
        <v>999</v>
      </c>
      <c r="B77" s="18">
        <v>82224</v>
      </c>
      <c r="C77" s="18">
        <v>91</v>
      </c>
      <c r="D77" s="19" t="s">
        <v>190</v>
      </c>
      <c r="E77" s="19" t="s">
        <v>101</v>
      </c>
      <c r="F77" s="18">
        <v>4</v>
      </c>
      <c r="G77" s="19" t="s">
        <v>16</v>
      </c>
      <c r="H77" s="19" t="s">
        <v>220</v>
      </c>
      <c r="I77" s="19">
        <v>29.54</v>
      </c>
      <c r="J77" s="19"/>
      <c r="K77" s="20">
        <v>0</v>
      </c>
      <c r="N77">
        <f t="shared" si="8"/>
        <v>82224</v>
      </c>
      <c r="O77">
        <f>IF(AND(A77&gt;0,A77&lt;999),IFERROR(VLOOKUP(results0119[[#This Row],[Card]],U14M[],1,FALSE),0),0)</f>
        <v>0</v>
      </c>
      <c r="P77">
        <f t="shared" si="9"/>
        <v>999</v>
      </c>
      <c r="Q77" s="5">
        <f t="shared" si="10"/>
        <v>999</v>
      </c>
      <c r="R77" s="5">
        <f t="shared" si="11"/>
        <v>45</v>
      </c>
    </row>
    <row r="78" spans="1:18" x14ac:dyDescent="0.25">
      <c r="A78" s="13">
        <v>999</v>
      </c>
      <c r="B78" s="14">
        <v>89505</v>
      </c>
      <c r="C78" s="14">
        <v>68</v>
      </c>
      <c r="D78" s="15" t="s">
        <v>387</v>
      </c>
      <c r="E78" s="15" t="s">
        <v>388</v>
      </c>
      <c r="F78" s="14">
        <v>5</v>
      </c>
      <c r="G78" s="15" t="s">
        <v>16</v>
      </c>
      <c r="H78" s="15" t="s">
        <v>220</v>
      </c>
      <c r="I78" s="15">
        <v>33.4</v>
      </c>
      <c r="J78" s="15"/>
      <c r="K78" s="16">
        <v>0</v>
      </c>
      <c r="N78">
        <f t="shared" si="8"/>
        <v>89505</v>
      </c>
      <c r="O78">
        <f>IF(AND(A78&gt;0,A78&lt;999),IFERROR(VLOOKUP(results0119[[#This Row],[Card]],U14M[],1,FALSE),0),0)</f>
        <v>0</v>
      </c>
      <c r="P78">
        <f t="shared" si="9"/>
        <v>999</v>
      </c>
      <c r="Q78" s="5">
        <f t="shared" si="10"/>
        <v>999</v>
      </c>
      <c r="R78" s="5">
        <f t="shared" si="11"/>
        <v>79</v>
      </c>
    </row>
    <row r="79" spans="1:18" x14ac:dyDescent="0.25">
      <c r="A79" s="17">
        <v>999</v>
      </c>
      <c r="B79" s="18">
        <v>78783</v>
      </c>
      <c r="C79" s="18">
        <v>55</v>
      </c>
      <c r="D79" s="19" t="s">
        <v>198</v>
      </c>
      <c r="E79" s="19" t="s">
        <v>47</v>
      </c>
      <c r="F79" s="18">
        <v>5</v>
      </c>
      <c r="G79" s="19" t="s">
        <v>16</v>
      </c>
      <c r="H79" s="19" t="s">
        <v>220</v>
      </c>
      <c r="I79" s="19">
        <v>33.89</v>
      </c>
      <c r="J79" s="19"/>
      <c r="K79" s="20">
        <v>0</v>
      </c>
      <c r="N79">
        <f t="shared" si="8"/>
        <v>78783</v>
      </c>
      <c r="O79">
        <f>IF(AND(A79&gt;0,A79&lt;999),IFERROR(VLOOKUP(results0119[[#This Row],[Card]],U14M[],1,FALSE),0),0)</f>
        <v>0</v>
      </c>
      <c r="P79">
        <f t="shared" si="9"/>
        <v>999</v>
      </c>
      <c r="Q79" s="5">
        <f t="shared" si="10"/>
        <v>999</v>
      </c>
      <c r="R79" s="5">
        <f t="shared" si="11"/>
        <v>85</v>
      </c>
    </row>
    <row r="80" spans="1:18" x14ac:dyDescent="0.25">
      <c r="A80" s="13">
        <v>999</v>
      </c>
      <c r="B80" s="14">
        <v>81459</v>
      </c>
      <c r="C80" s="14">
        <v>50</v>
      </c>
      <c r="D80" s="15" t="s">
        <v>225</v>
      </c>
      <c r="E80" s="15" t="s">
        <v>101</v>
      </c>
      <c r="F80" s="14">
        <v>5</v>
      </c>
      <c r="G80" s="15" t="s">
        <v>16</v>
      </c>
      <c r="H80" s="15" t="s">
        <v>220</v>
      </c>
      <c r="I80" s="15"/>
      <c r="J80" s="15"/>
      <c r="K80" s="16">
        <v>0</v>
      </c>
      <c r="N80">
        <f t="shared" si="8"/>
        <v>81459</v>
      </c>
      <c r="O80">
        <f>IF(AND(A80&gt;0,A80&lt;999),IFERROR(VLOOKUP(results0119[[#This Row],[Card]],U14M[],1,FALSE),0),0)</f>
        <v>0</v>
      </c>
      <c r="P80">
        <f t="shared" si="9"/>
        <v>999</v>
      </c>
      <c r="Q80" s="5">
        <f t="shared" si="10"/>
        <v>999</v>
      </c>
      <c r="R80" s="5">
        <f t="shared" si="11"/>
        <v>999</v>
      </c>
    </row>
    <row r="81" spans="1:18" x14ac:dyDescent="0.25">
      <c r="A81" s="17">
        <v>999</v>
      </c>
      <c r="B81" s="18">
        <v>84763</v>
      </c>
      <c r="C81" s="18">
        <v>47</v>
      </c>
      <c r="D81" s="19" t="s">
        <v>103</v>
      </c>
      <c r="E81" s="19" t="s">
        <v>15</v>
      </c>
      <c r="F81" s="18">
        <v>5</v>
      </c>
      <c r="G81" s="19" t="s">
        <v>16</v>
      </c>
      <c r="H81" s="19" t="s">
        <v>220</v>
      </c>
      <c r="I81" s="19">
        <v>28.95</v>
      </c>
      <c r="J81" s="19"/>
      <c r="K81" s="20">
        <v>0</v>
      </c>
      <c r="N81">
        <f t="shared" si="8"/>
        <v>84763</v>
      </c>
      <c r="O81">
        <f>IF(AND(A81&gt;0,A81&lt;999),IFERROR(VLOOKUP(results0119[[#This Row],[Card]],U14M[],1,FALSE),0),0)</f>
        <v>0</v>
      </c>
      <c r="P81">
        <f t="shared" si="9"/>
        <v>999</v>
      </c>
      <c r="Q81" s="5">
        <f t="shared" si="10"/>
        <v>999</v>
      </c>
      <c r="R81" s="5">
        <f t="shared" si="11"/>
        <v>40</v>
      </c>
    </row>
    <row r="82" spans="1:18" x14ac:dyDescent="0.25">
      <c r="A82" s="13">
        <v>999</v>
      </c>
      <c r="B82" s="14">
        <v>74564</v>
      </c>
      <c r="C82" s="14">
        <v>45</v>
      </c>
      <c r="D82" s="15" t="s">
        <v>100</v>
      </c>
      <c r="E82" s="15" t="s">
        <v>101</v>
      </c>
      <c r="F82" s="14">
        <v>5</v>
      </c>
      <c r="G82" s="15" t="s">
        <v>16</v>
      </c>
      <c r="H82" s="15" t="s">
        <v>220</v>
      </c>
      <c r="I82" s="15"/>
      <c r="J82" s="15"/>
      <c r="K82" s="16">
        <v>0</v>
      </c>
      <c r="N82">
        <f t="shared" si="8"/>
        <v>74564</v>
      </c>
      <c r="O82">
        <f>IF(AND(A82&gt;0,A82&lt;999),IFERROR(VLOOKUP(results0119[[#This Row],[Card]],U14M[],1,FALSE),0),0)</f>
        <v>0</v>
      </c>
      <c r="P82">
        <f t="shared" si="9"/>
        <v>999</v>
      </c>
      <c r="Q82" s="5">
        <f t="shared" si="10"/>
        <v>999</v>
      </c>
      <c r="R82" s="5">
        <f t="shared" si="11"/>
        <v>999</v>
      </c>
    </row>
    <row r="83" spans="1:18" x14ac:dyDescent="0.25">
      <c r="A83" s="17">
        <v>999</v>
      </c>
      <c r="B83" s="18">
        <v>81879</v>
      </c>
      <c r="C83" s="18">
        <v>20</v>
      </c>
      <c r="D83" s="19" t="s">
        <v>146</v>
      </c>
      <c r="E83" s="19" t="s">
        <v>22</v>
      </c>
      <c r="F83" s="18">
        <v>5</v>
      </c>
      <c r="G83" s="19" t="s">
        <v>16</v>
      </c>
      <c r="H83" s="19" t="s">
        <v>220</v>
      </c>
      <c r="I83" s="19">
        <v>31.16</v>
      </c>
      <c r="J83" s="19"/>
      <c r="K83" s="20">
        <v>0</v>
      </c>
      <c r="N83">
        <f t="shared" si="8"/>
        <v>81879</v>
      </c>
      <c r="O83">
        <f>IF(AND(A83&gt;0,A83&lt;999),IFERROR(VLOOKUP(results0119[[#This Row],[Card]],U14M[],1,FALSE),0),0)</f>
        <v>0</v>
      </c>
      <c r="P83">
        <f t="shared" si="9"/>
        <v>999</v>
      </c>
      <c r="Q83" s="5">
        <f t="shared" si="10"/>
        <v>999</v>
      </c>
      <c r="R83" s="5">
        <f t="shared" si="11"/>
        <v>71</v>
      </c>
    </row>
    <row r="84" spans="1:18" x14ac:dyDescent="0.25">
      <c r="A84" s="13">
        <v>999</v>
      </c>
      <c r="B84" s="14">
        <v>80680</v>
      </c>
      <c r="C84" s="14">
        <v>5</v>
      </c>
      <c r="D84" s="15" t="s">
        <v>28</v>
      </c>
      <c r="E84" s="15" t="s">
        <v>15</v>
      </c>
      <c r="F84" s="14">
        <v>4</v>
      </c>
      <c r="G84" s="15" t="s">
        <v>16</v>
      </c>
      <c r="H84" s="15" t="s">
        <v>534</v>
      </c>
      <c r="I84" s="15">
        <v>26.52</v>
      </c>
      <c r="J84" s="15"/>
      <c r="K84" s="16">
        <v>0</v>
      </c>
      <c r="N84">
        <f t="shared" si="8"/>
        <v>80680</v>
      </c>
      <c r="O84">
        <f>IF(AND(A84&gt;0,A84&lt;999),IFERROR(VLOOKUP(results0119[[#This Row],[Card]],U14M[],1,FALSE),0),0)</f>
        <v>0</v>
      </c>
      <c r="P84">
        <f t="shared" si="9"/>
        <v>999</v>
      </c>
      <c r="Q84" s="5">
        <f t="shared" si="10"/>
        <v>999</v>
      </c>
      <c r="R84" s="5">
        <f t="shared" si="11"/>
        <v>10</v>
      </c>
    </row>
    <row r="85" spans="1:18" x14ac:dyDescent="0.25">
      <c r="A85" s="17">
        <v>999</v>
      </c>
      <c r="B85" s="18">
        <v>75018</v>
      </c>
      <c r="C85" s="18">
        <v>39</v>
      </c>
      <c r="D85" s="19" t="s">
        <v>60</v>
      </c>
      <c r="E85" s="19" t="s">
        <v>61</v>
      </c>
      <c r="F85" s="18">
        <v>4</v>
      </c>
      <c r="G85" s="19" t="s">
        <v>16</v>
      </c>
      <c r="H85" s="19" t="s">
        <v>535</v>
      </c>
      <c r="I85" s="19">
        <v>28.56</v>
      </c>
      <c r="J85" s="19"/>
      <c r="K85" s="20">
        <v>0</v>
      </c>
      <c r="N85">
        <f t="shared" si="8"/>
        <v>75018</v>
      </c>
      <c r="O85">
        <f>IF(AND(A85&gt;0,A85&lt;999),IFERROR(VLOOKUP(results0119[[#This Row],[Card]],U14M[],1,FALSE),0),0)</f>
        <v>0</v>
      </c>
      <c r="P85">
        <f t="shared" si="9"/>
        <v>999</v>
      </c>
      <c r="Q85" s="5">
        <f t="shared" si="10"/>
        <v>999</v>
      </c>
      <c r="R85" s="5">
        <f t="shared" si="11"/>
        <v>33</v>
      </c>
    </row>
    <row r="86" spans="1:18" x14ac:dyDescent="0.25">
      <c r="A86" s="13">
        <v>999</v>
      </c>
      <c r="B86" s="14">
        <v>85883</v>
      </c>
      <c r="C86" s="14">
        <v>54</v>
      </c>
      <c r="D86" s="15" t="s">
        <v>51</v>
      </c>
      <c r="E86" s="15" t="s">
        <v>15</v>
      </c>
      <c r="F86" s="14">
        <v>4</v>
      </c>
      <c r="G86" s="15" t="s">
        <v>16</v>
      </c>
      <c r="H86" s="15" t="s">
        <v>536</v>
      </c>
      <c r="I86" s="15">
        <v>30.58</v>
      </c>
      <c r="J86" s="15"/>
      <c r="K86" s="16">
        <v>0</v>
      </c>
      <c r="N86">
        <f t="shared" si="8"/>
        <v>85883</v>
      </c>
      <c r="O86">
        <f>IF(AND(A86&gt;0,A86&lt;999),IFERROR(VLOOKUP(results0119[[#This Row],[Card]],U14M[],1,FALSE),0),0)</f>
        <v>0</v>
      </c>
      <c r="P86">
        <f t="shared" si="9"/>
        <v>999</v>
      </c>
      <c r="Q86" s="5">
        <f t="shared" si="10"/>
        <v>999</v>
      </c>
      <c r="R86" s="5">
        <f t="shared" si="11"/>
        <v>62</v>
      </c>
    </row>
    <row r="87" spans="1:18" x14ac:dyDescent="0.25">
      <c r="A87" s="17">
        <v>999</v>
      </c>
      <c r="B87" s="18">
        <v>82441</v>
      </c>
      <c r="C87" s="18">
        <v>111</v>
      </c>
      <c r="D87" s="19" t="s">
        <v>96</v>
      </c>
      <c r="E87" s="19" t="s">
        <v>15</v>
      </c>
      <c r="F87" s="18">
        <v>4</v>
      </c>
      <c r="G87" s="19" t="s">
        <v>16</v>
      </c>
      <c r="H87" s="19" t="s">
        <v>534</v>
      </c>
      <c r="I87" s="19">
        <v>28.27</v>
      </c>
      <c r="J87" s="19"/>
      <c r="K87" s="20">
        <v>0</v>
      </c>
      <c r="N87">
        <f t="shared" si="8"/>
        <v>82441</v>
      </c>
      <c r="O87">
        <f>IF(AND(A87&gt;0,A87&lt;999),IFERROR(VLOOKUP(results0119[[#This Row],[Card]],U14M[],1,FALSE),0),0)</f>
        <v>0</v>
      </c>
      <c r="P87">
        <f t="shared" si="9"/>
        <v>999</v>
      </c>
      <c r="Q87" s="5">
        <f t="shared" si="10"/>
        <v>999</v>
      </c>
      <c r="R87" s="5">
        <f t="shared" si="11"/>
        <v>28</v>
      </c>
    </row>
    <row r="88" spans="1:18" x14ac:dyDescent="0.25">
      <c r="A88" s="13">
        <v>999</v>
      </c>
      <c r="B88" s="14">
        <v>85448</v>
      </c>
      <c r="C88" s="14">
        <v>9</v>
      </c>
      <c r="D88" s="15" t="s">
        <v>224</v>
      </c>
      <c r="E88" s="15" t="s">
        <v>101</v>
      </c>
      <c r="F88" s="14">
        <v>4</v>
      </c>
      <c r="G88" s="15" t="s">
        <v>16</v>
      </c>
      <c r="H88" s="15" t="s">
        <v>535</v>
      </c>
      <c r="I88" s="15">
        <v>29.22</v>
      </c>
      <c r="J88" s="15"/>
      <c r="K88" s="16">
        <v>0</v>
      </c>
      <c r="N88">
        <f t="shared" si="8"/>
        <v>85448</v>
      </c>
      <c r="O88">
        <f>IF(AND(A88&gt;0,A88&lt;999),IFERROR(VLOOKUP(results0119[[#This Row],[Card]],U14M[],1,FALSE),0),0)</f>
        <v>0</v>
      </c>
      <c r="P88">
        <f t="shared" si="9"/>
        <v>999</v>
      </c>
      <c r="Q88" s="5">
        <f t="shared" si="10"/>
        <v>999</v>
      </c>
      <c r="R88" s="5">
        <f t="shared" si="11"/>
        <v>42</v>
      </c>
    </row>
    <row r="89" spans="1:18" x14ac:dyDescent="0.25">
      <c r="A89" s="17">
        <v>999</v>
      </c>
      <c r="B89" s="18">
        <v>78414</v>
      </c>
      <c r="C89" s="18">
        <v>84</v>
      </c>
      <c r="D89" s="19" t="s">
        <v>202</v>
      </c>
      <c r="E89" s="19" t="s">
        <v>155</v>
      </c>
      <c r="F89" s="18">
        <v>4</v>
      </c>
      <c r="G89" s="19" t="s">
        <v>16</v>
      </c>
      <c r="H89" s="19" t="s">
        <v>535</v>
      </c>
      <c r="I89" s="19"/>
      <c r="J89" s="19"/>
      <c r="K89" s="20">
        <v>0</v>
      </c>
      <c r="N89">
        <f t="shared" si="8"/>
        <v>78414</v>
      </c>
      <c r="O89">
        <f>IF(AND(A89&gt;0,A89&lt;999),IFERROR(VLOOKUP(results0119[[#This Row],[Card]],U14M[],1,FALSE),0),0)</f>
        <v>0</v>
      </c>
      <c r="P89">
        <f t="shared" si="9"/>
        <v>999</v>
      </c>
      <c r="Q89" s="5">
        <f t="shared" si="10"/>
        <v>999</v>
      </c>
      <c r="R89" s="5">
        <f t="shared" si="11"/>
        <v>999</v>
      </c>
    </row>
    <row r="90" spans="1:18" x14ac:dyDescent="0.25">
      <c r="A90" s="13">
        <v>999</v>
      </c>
      <c r="B90" s="14">
        <v>82186</v>
      </c>
      <c r="C90" s="14">
        <v>11</v>
      </c>
      <c r="D90" s="15" t="s">
        <v>114</v>
      </c>
      <c r="E90" s="15" t="s">
        <v>15</v>
      </c>
      <c r="F90" s="14">
        <v>4</v>
      </c>
      <c r="G90" s="15" t="s">
        <v>16</v>
      </c>
      <c r="H90" s="15" t="s">
        <v>534</v>
      </c>
      <c r="I90" s="15">
        <v>27.86</v>
      </c>
      <c r="J90" s="15"/>
      <c r="K90" s="16">
        <v>0</v>
      </c>
      <c r="N90">
        <f t="shared" si="8"/>
        <v>82186</v>
      </c>
      <c r="O90">
        <f>IF(AND(A90&gt;0,A90&lt;999),IFERROR(VLOOKUP(results0119[[#This Row],[Card]],U14M[],1,FALSE),0),0)</f>
        <v>0</v>
      </c>
      <c r="P90">
        <f t="shared" si="9"/>
        <v>999</v>
      </c>
      <c r="Q90" s="5">
        <f t="shared" si="10"/>
        <v>999</v>
      </c>
      <c r="R90" s="5">
        <f t="shared" si="11"/>
        <v>21</v>
      </c>
    </row>
    <row r="91" spans="1:18" x14ac:dyDescent="0.25">
      <c r="A91" s="17">
        <v>999</v>
      </c>
      <c r="B91" s="18">
        <v>80700</v>
      </c>
      <c r="C91" s="18">
        <v>75</v>
      </c>
      <c r="D91" s="19" t="s">
        <v>192</v>
      </c>
      <c r="E91" s="19" t="s">
        <v>31</v>
      </c>
      <c r="F91" s="18">
        <v>4</v>
      </c>
      <c r="G91" s="19" t="s">
        <v>16</v>
      </c>
      <c r="H91" s="19" t="s">
        <v>535</v>
      </c>
      <c r="I91" s="19">
        <v>30.26</v>
      </c>
      <c r="J91" s="19"/>
      <c r="K91" s="20">
        <v>0</v>
      </c>
      <c r="N91">
        <f t="shared" si="8"/>
        <v>80700</v>
      </c>
      <c r="O91">
        <f>IF(AND(A91&gt;0,A91&lt;999),IFERROR(VLOOKUP(results0119[[#This Row],[Card]],U14M[],1,FALSE),0),0)</f>
        <v>0</v>
      </c>
      <c r="P91">
        <f t="shared" si="9"/>
        <v>999</v>
      </c>
      <c r="Q91" s="5">
        <f t="shared" si="10"/>
        <v>999</v>
      </c>
      <c r="R91" s="5">
        <f t="shared" si="11"/>
        <v>55</v>
      </c>
    </row>
    <row r="92" spans="1:18" x14ac:dyDescent="0.25">
      <c r="A92" s="13">
        <v>999</v>
      </c>
      <c r="B92" s="14">
        <v>81736</v>
      </c>
      <c r="C92" s="14">
        <v>2</v>
      </c>
      <c r="D92" s="15" t="s">
        <v>184</v>
      </c>
      <c r="E92" s="15" t="s">
        <v>31</v>
      </c>
      <c r="F92" s="14">
        <v>4</v>
      </c>
      <c r="G92" s="15" t="s">
        <v>16</v>
      </c>
      <c r="H92" s="15" t="s">
        <v>535</v>
      </c>
      <c r="I92" s="15">
        <v>33.979999999999997</v>
      </c>
      <c r="J92" s="15"/>
      <c r="K92" s="16">
        <v>0</v>
      </c>
      <c r="N92">
        <f t="shared" si="8"/>
        <v>81736</v>
      </c>
      <c r="O92">
        <f>IF(AND(A92&gt;0,A92&lt;999),IFERROR(VLOOKUP(results0119[[#This Row],[Card]],U14M[],1,FALSE),0),0)</f>
        <v>0</v>
      </c>
      <c r="P92">
        <f t="shared" si="9"/>
        <v>999</v>
      </c>
      <c r="Q92" s="5">
        <f t="shared" si="10"/>
        <v>999</v>
      </c>
      <c r="R92" s="5">
        <f t="shared" si="11"/>
        <v>86</v>
      </c>
    </row>
    <row r="93" spans="1:18" x14ac:dyDescent="0.25">
      <c r="A93" s="17">
        <v>999</v>
      </c>
      <c r="B93" s="18">
        <v>80701</v>
      </c>
      <c r="C93" s="18">
        <v>109</v>
      </c>
      <c r="D93" s="19" t="s">
        <v>216</v>
      </c>
      <c r="E93" s="19" t="s">
        <v>31</v>
      </c>
      <c r="F93" s="18">
        <v>5</v>
      </c>
      <c r="G93" s="19" t="s">
        <v>16</v>
      </c>
      <c r="H93" s="19" t="s">
        <v>535</v>
      </c>
      <c r="I93" s="19">
        <v>34.65</v>
      </c>
      <c r="J93" s="19"/>
      <c r="K93" s="20">
        <v>0</v>
      </c>
      <c r="N93">
        <f t="shared" si="8"/>
        <v>80701</v>
      </c>
      <c r="O93">
        <f>IF(AND(A93&gt;0,A93&lt;999),IFERROR(VLOOKUP(results0119[[#This Row],[Card]],U14M[],1,FALSE),0),0)</f>
        <v>0</v>
      </c>
      <c r="P93">
        <f t="shared" si="9"/>
        <v>999</v>
      </c>
      <c r="Q93" s="5">
        <f t="shared" si="10"/>
        <v>999</v>
      </c>
      <c r="R93" s="5">
        <f t="shared" si="11"/>
        <v>90</v>
      </c>
    </row>
    <row r="94" spans="1:18" x14ac:dyDescent="0.25">
      <c r="A94" s="13">
        <v>999</v>
      </c>
      <c r="B94" s="14">
        <v>80692</v>
      </c>
      <c r="C94" s="14">
        <v>104</v>
      </c>
      <c r="D94" s="15" t="s">
        <v>317</v>
      </c>
      <c r="E94" s="15" t="s">
        <v>31</v>
      </c>
      <c r="F94" s="14">
        <v>5</v>
      </c>
      <c r="G94" s="15" t="s">
        <v>16</v>
      </c>
      <c r="H94" s="15" t="s">
        <v>535</v>
      </c>
      <c r="I94" s="15">
        <v>31.66</v>
      </c>
      <c r="J94" s="15"/>
      <c r="K94" s="16">
        <v>0</v>
      </c>
      <c r="N94">
        <f t="shared" si="8"/>
        <v>80692</v>
      </c>
      <c r="O94">
        <f>IF(AND(A94&gt;0,A94&lt;999),IFERROR(VLOOKUP(results0119[[#This Row],[Card]],U14M[],1,FALSE),0),0)</f>
        <v>0</v>
      </c>
      <c r="P94">
        <f t="shared" si="9"/>
        <v>999</v>
      </c>
      <c r="Q94" s="5">
        <f t="shared" si="10"/>
        <v>999</v>
      </c>
      <c r="R94" s="5">
        <f t="shared" si="11"/>
        <v>72</v>
      </c>
    </row>
    <row r="95" spans="1:18" x14ac:dyDescent="0.25">
      <c r="A95" s="17">
        <v>999</v>
      </c>
      <c r="B95" s="18">
        <v>78200</v>
      </c>
      <c r="C95" s="18">
        <v>103</v>
      </c>
      <c r="D95" s="19" t="s">
        <v>49</v>
      </c>
      <c r="E95" s="19" t="s">
        <v>31</v>
      </c>
      <c r="F95" s="18">
        <v>5</v>
      </c>
      <c r="G95" s="19" t="s">
        <v>16</v>
      </c>
      <c r="H95" s="19" t="s">
        <v>535</v>
      </c>
      <c r="I95" s="19">
        <v>26.05</v>
      </c>
      <c r="J95" s="19"/>
      <c r="K95" s="20">
        <v>0</v>
      </c>
      <c r="N95">
        <f t="shared" si="8"/>
        <v>78200</v>
      </c>
      <c r="O95">
        <f>IF(AND(A95&gt;0,A95&lt;999),IFERROR(VLOOKUP(results0119[[#This Row],[Card]],U14M[],1,FALSE),0),0)</f>
        <v>0</v>
      </c>
      <c r="P95">
        <f t="shared" si="9"/>
        <v>999</v>
      </c>
      <c r="Q95" s="5">
        <f t="shared" si="10"/>
        <v>999</v>
      </c>
      <c r="R95" s="5">
        <f t="shared" si="11"/>
        <v>2</v>
      </c>
    </row>
    <row r="96" spans="1:18" x14ac:dyDescent="0.25">
      <c r="A96" s="13">
        <v>999</v>
      </c>
      <c r="B96" s="14">
        <v>84752</v>
      </c>
      <c r="C96" s="14">
        <v>100</v>
      </c>
      <c r="D96" s="15" t="s">
        <v>140</v>
      </c>
      <c r="E96" s="15" t="s">
        <v>15</v>
      </c>
      <c r="F96" s="14">
        <v>5</v>
      </c>
      <c r="G96" s="15" t="s">
        <v>16</v>
      </c>
      <c r="H96" s="15" t="s">
        <v>535</v>
      </c>
      <c r="I96" s="15">
        <v>29.99</v>
      </c>
      <c r="J96" s="15"/>
      <c r="K96" s="16">
        <v>0</v>
      </c>
      <c r="N96">
        <f t="shared" si="8"/>
        <v>84752</v>
      </c>
      <c r="O96">
        <f>IF(AND(A96&gt;0,A96&lt;999),IFERROR(VLOOKUP(results0119[[#This Row],[Card]],U14M[],1,FALSE),0),0)</f>
        <v>0</v>
      </c>
      <c r="P96">
        <f t="shared" si="9"/>
        <v>999</v>
      </c>
      <c r="Q96" s="5">
        <f t="shared" si="10"/>
        <v>999</v>
      </c>
      <c r="R96" s="5">
        <f t="shared" si="11"/>
        <v>53</v>
      </c>
    </row>
    <row r="97" spans="1:18" x14ac:dyDescent="0.25">
      <c r="A97" s="17">
        <v>999</v>
      </c>
      <c r="B97" s="18">
        <v>77214</v>
      </c>
      <c r="C97" s="18">
        <v>99</v>
      </c>
      <c r="D97" s="19" t="s">
        <v>154</v>
      </c>
      <c r="E97" s="19" t="s">
        <v>155</v>
      </c>
      <c r="F97" s="18">
        <v>5</v>
      </c>
      <c r="G97" s="19" t="s">
        <v>16</v>
      </c>
      <c r="H97" s="19" t="s">
        <v>535</v>
      </c>
      <c r="I97" s="19">
        <v>28.27</v>
      </c>
      <c r="J97" s="19"/>
      <c r="K97" s="20">
        <v>0</v>
      </c>
      <c r="N97">
        <f t="shared" si="8"/>
        <v>77214</v>
      </c>
      <c r="O97">
        <f>IF(AND(A97&gt;0,A97&lt;999),IFERROR(VLOOKUP(results0119[[#This Row],[Card]],U14M[],1,FALSE),0),0)</f>
        <v>0</v>
      </c>
      <c r="P97">
        <f t="shared" si="9"/>
        <v>999</v>
      </c>
      <c r="Q97" s="5">
        <f t="shared" si="10"/>
        <v>999</v>
      </c>
      <c r="R97" s="5">
        <f t="shared" si="11"/>
        <v>28</v>
      </c>
    </row>
    <row r="98" spans="1:18" x14ac:dyDescent="0.25">
      <c r="A98" s="13">
        <v>999</v>
      </c>
      <c r="B98" s="14">
        <v>81500</v>
      </c>
      <c r="C98" s="14">
        <v>97</v>
      </c>
      <c r="D98" s="15" t="s">
        <v>131</v>
      </c>
      <c r="E98" s="15" t="s">
        <v>22</v>
      </c>
      <c r="F98" s="14">
        <v>5</v>
      </c>
      <c r="G98" s="15" t="s">
        <v>16</v>
      </c>
      <c r="H98" s="15" t="s">
        <v>471</v>
      </c>
      <c r="I98" s="15">
        <v>28.91</v>
      </c>
      <c r="J98" s="15"/>
      <c r="K98" s="16">
        <v>0</v>
      </c>
      <c r="N98">
        <f t="shared" ref="N98:N114" si="12">B98</f>
        <v>81500</v>
      </c>
      <c r="O98">
        <f>IF(AND(A98&gt;0,A98&lt;999),IFERROR(VLOOKUP(results0119[[#This Row],[Card]],U14M[],1,FALSE),0),0)</f>
        <v>0</v>
      </c>
      <c r="P98">
        <f t="shared" ref="P98:P114" si="13">A98</f>
        <v>999</v>
      </c>
      <c r="Q98" s="5">
        <f t="shared" ref="Q98:Q114" si="14">IFERROR(_xlfn.RANK.EQ(H98,$H$2:$H$114,1),999)</f>
        <v>999</v>
      </c>
      <c r="R98" s="5">
        <f t="shared" ref="R98:R114" si="15">IFERROR(_xlfn.RANK.EQ(I98,$I$2:$I$114,1),999)</f>
        <v>39</v>
      </c>
    </row>
    <row r="99" spans="1:18" x14ac:dyDescent="0.25">
      <c r="A99" s="17">
        <v>999</v>
      </c>
      <c r="B99" s="18">
        <v>80709</v>
      </c>
      <c r="C99" s="18">
        <v>70</v>
      </c>
      <c r="D99" s="19" t="s">
        <v>24</v>
      </c>
      <c r="E99" s="19" t="s">
        <v>22</v>
      </c>
      <c r="F99" s="18">
        <v>5</v>
      </c>
      <c r="G99" s="19" t="s">
        <v>16</v>
      </c>
      <c r="H99" s="19" t="s">
        <v>535</v>
      </c>
      <c r="I99" s="19">
        <v>26.12</v>
      </c>
      <c r="J99" s="19"/>
      <c r="K99" s="20">
        <v>0</v>
      </c>
      <c r="N99">
        <f t="shared" si="12"/>
        <v>80709</v>
      </c>
      <c r="O99">
        <f>IF(AND(A99&gt;0,A99&lt;999),IFERROR(VLOOKUP(results0119[[#This Row],[Card]],U14M[],1,FALSE),0),0)</f>
        <v>0</v>
      </c>
      <c r="P99">
        <f t="shared" si="13"/>
        <v>999</v>
      </c>
      <c r="Q99" s="5">
        <f t="shared" si="14"/>
        <v>999</v>
      </c>
      <c r="R99" s="5">
        <f t="shared" si="15"/>
        <v>3</v>
      </c>
    </row>
    <row r="100" spans="1:18" x14ac:dyDescent="0.25">
      <c r="A100" s="13">
        <v>999</v>
      </c>
      <c r="B100" s="14">
        <v>81110</v>
      </c>
      <c r="C100" s="14">
        <v>69</v>
      </c>
      <c r="D100" s="15" t="s">
        <v>86</v>
      </c>
      <c r="E100" s="15" t="s">
        <v>22</v>
      </c>
      <c r="F100" s="14">
        <v>5</v>
      </c>
      <c r="G100" s="15" t="s">
        <v>16</v>
      </c>
      <c r="H100" s="15" t="s">
        <v>535</v>
      </c>
      <c r="I100" s="15">
        <v>27.53</v>
      </c>
      <c r="J100" s="15"/>
      <c r="K100" s="16">
        <v>0</v>
      </c>
      <c r="N100">
        <f t="shared" si="12"/>
        <v>81110</v>
      </c>
      <c r="O100">
        <f>IF(AND(A100&gt;0,A100&lt;999),IFERROR(VLOOKUP(results0119[[#This Row],[Card]],U14M[],1,FALSE),0),0)</f>
        <v>0</v>
      </c>
      <c r="P100">
        <f t="shared" si="13"/>
        <v>999</v>
      </c>
      <c r="Q100" s="5">
        <f t="shared" si="14"/>
        <v>999</v>
      </c>
      <c r="R100" s="5">
        <f t="shared" si="15"/>
        <v>18</v>
      </c>
    </row>
    <row r="101" spans="1:18" x14ac:dyDescent="0.25">
      <c r="A101" s="17">
        <v>999</v>
      </c>
      <c r="B101" s="18">
        <v>82403</v>
      </c>
      <c r="C101" s="18">
        <v>53</v>
      </c>
      <c r="D101" s="19" t="s">
        <v>175</v>
      </c>
      <c r="E101" s="19" t="s">
        <v>19</v>
      </c>
      <c r="F101" s="18">
        <v>5</v>
      </c>
      <c r="G101" s="19" t="s">
        <v>16</v>
      </c>
      <c r="H101" s="19" t="s">
        <v>535</v>
      </c>
      <c r="I101" s="19">
        <v>30.48</v>
      </c>
      <c r="J101" s="19"/>
      <c r="K101" s="20">
        <v>0</v>
      </c>
      <c r="N101">
        <f t="shared" si="12"/>
        <v>82403</v>
      </c>
      <c r="O101">
        <f>IF(AND(A101&gt;0,A101&lt;999),IFERROR(VLOOKUP(results0119[[#This Row],[Card]],U14M[],1,FALSE),0),0)</f>
        <v>0</v>
      </c>
      <c r="P101">
        <f t="shared" si="13"/>
        <v>999</v>
      </c>
      <c r="Q101" s="5">
        <f t="shared" si="14"/>
        <v>999</v>
      </c>
      <c r="R101" s="5">
        <f t="shared" si="15"/>
        <v>60</v>
      </c>
    </row>
    <row r="102" spans="1:18" x14ac:dyDescent="0.25">
      <c r="A102" s="13">
        <v>999</v>
      </c>
      <c r="B102" s="14">
        <v>81880</v>
      </c>
      <c r="C102" s="14">
        <v>38</v>
      </c>
      <c r="D102" s="15" t="s">
        <v>212</v>
      </c>
      <c r="E102" s="15" t="s">
        <v>61</v>
      </c>
      <c r="F102" s="14">
        <v>5</v>
      </c>
      <c r="G102" s="15" t="s">
        <v>16</v>
      </c>
      <c r="H102" s="15" t="s">
        <v>534</v>
      </c>
      <c r="I102" s="15">
        <v>40.71</v>
      </c>
      <c r="J102" s="15"/>
      <c r="K102" s="16">
        <v>0</v>
      </c>
      <c r="N102">
        <f t="shared" si="12"/>
        <v>81880</v>
      </c>
      <c r="O102">
        <f>IF(AND(A102&gt;0,A102&lt;999),IFERROR(VLOOKUP(results0119[[#This Row],[Card]],U14M[],1,FALSE),0),0)</f>
        <v>0</v>
      </c>
      <c r="P102">
        <f t="shared" si="13"/>
        <v>999</v>
      </c>
      <c r="Q102" s="5">
        <f t="shared" si="14"/>
        <v>999</v>
      </c>
      <c r="R102" s="5">
        <f t="shared" si="15"/>
        <v>97</v>
      </c>
    </row>
    <row r="103" spans="1:18" x14ac:dyDescent="0.25">
      <c r="A103" s="17">
        <v>999</v>
      </c>
      <c r="B103" s="18">
        <v>78680</v>
      </c>
      <c r="C103" s="18">
        <v>37</v>
      </c>
      <c r="D103" s="19" t="s">
        <v>127</v>
      </c>
      <c r="E103" s="19" t="s">
        <v>22</v>
      </c>
      <c r="F103" s="18">
        <v>5</v>
      </c>
      <c r="G103" s="19" t="s">
        <v>16</v>
      </c>
      <c r="H103" s="19" t="s">
        <v>534</v>
      </c>
      <c r="I103" s="19">
        <v>29.51</v>
      </c>
      <c r="J103" s="19"/>
      <c r="K103" s="20">
        <v>0</v>
      </c>
      <c r="N103">
        <f t="shared" si="12"/>
        <v>78680</v>
      </c>
      <c r="O103">
        <f>IF(AND(A103&gt;0,A103&lt;999),IFERROR(VLOOKUP(results0119[[#This Row],[Card]],U14M[],1,FALSE),0),0)</f>
        <v>0</v>
      </c>
      <c r="P103">
        <f t="shared" si="13"/>
        <v>999</v>
      </c>
      <c r="Q103" s="5">
        <f t="shared" si="14"/>
        <v>999</v>
      </c>
      <c r="R103" s="5">
        <f t="shared" si="15"/>
        <v>43</v>
      </c>
    </row>
    <row r="104" spans="1:18" x14ac:dyDescent="0.25">
      <c r="A104" s="13">
        <v>999</v>
      </c>
      <c r="B104" s="14">
        <v>81505</v>
      </c>
      <c r="C104" s="14">
        <v>18</v>
      </c>
      <c r="D104" s="15" t="s">
        <v>315</v>
      </c>
      <c r="E104" s="15" t="s">
        <v>22</v>
      </c>
      <c r="F104" s="14">
        <v>5</v>
      </c>
      <c r="G104" s="15" t="s">
        <v>16</v>
      </c>
      <c r="H104" s="15" t="s">
        <v>535</v>
      </c>
      <c r="I104" s="15">
        <v>33.81</v>
      </c>
      <c r="J104" s="15"/>
      <c r="K104" s="16">
        <v>0</v>
      </c>
      <c r="N104">
        <f t="shared" si="12"/>
        <v>81505</v>
      </c>
      <c r="O104">
        <f>IF(AND(A104&gt;0,A104&lt;999),IFERROR(VLOOKUP(results0119[[#This Row],[Card]],U14M[],1,FALSE),0),0)</f>
        <v>0</v>
      </c>
      <c r="P104">
        <f t="shared" si="13"/>
        <v>999</v>
      </c>
      <c r="Q104" s="5">
        <f t="shared" si="14"/>
        <v>999</v>
      </c>
      <c r="R104" s="5">
        <f t="shared" si="15"/>
        <v>83</v>
      </c>
    </row>
    <row r="105" spans="1:18" x14ac:dyDescent="0.25">
      <c r="A105" s="17">
        <v>999</v>
      </c>
      <c r="B105" s="18">
        <v>87853</v>
      </c>
      <c r="C105" s="18">
        <v>3</v>
      </c>
      <c r="D105" s="19" t="s">
        <v>463</v>
      </c>
      <c r="E105" s="19" t="s">
        <v>117</v>
      </c>
      <c r="F105" s="18">
        <v>5</v>
      </c>
      <c r="G105" s="19" t="s">
        <v>16</v>
      </c>
      <c r="H105" s="19" t="s">
        <v>535</v>
      </c>
      <c r="I105" s="19">
        <v>36.520000000000003</v>
      </c>
      <c r="J105" s="19"/>
      <c r="K105" s="20">
        <v>0</v>
      </c>
      <c r="N105">
        <f t="shared" si="12"/>
        <v>87853</v>
      </c>
      <c r="O105">
        <f>IF(AND(A105&gt;0,A105&lt;999),IFERROR(VLOOKUP(results0119[[#This Row],[Card]],U14M[],1,FALSE),0),0)</f>
        <v>0</v>
      </c>
      <c r="P105">
        <f t="shared" si="13"/>
        <v>999</v>
      </c>
      <c r="Q105" s="5">
        <f t="shared" si="14"/>
        <v>999</v>
      </c>
      <c r="R105" s="5">
        <f t="shared" si="15"/>
        <v>96</v>
      </c>
    </row>
    <row r="106" spans="1:18" x14ac:dyDescent="0.25">
      <c r="A106" s="13">
        <v>999</v>
      </c>
      <c r="B106" s="14">
        <v>80715</v>
      </c>
      <c r="C106" s="14">
        <v>16</v>
      </c>
      <c r="D106" s="15" t="s">
        <v>65</v>
      </c>
      <c r="E106" s="15" t="s">
        <v>22</v>
      </c>
      <c r="F106" s="14">
        <v>4</v>
      </c>
      <c r="G106" s="15" t="s">
        <v>16</v>
      </c>
      <c r="H106" s="15">
        <v>25.8</v>
      </c>
      <c r="I106" s="15" t="s">
        <v>220</v>
      </c>
      <c r="J106" s="15"/>
      <c r="K106" s="16">
        <v>0</v>
      </c>
      <c r="N106">
        <f t="shared" si="12"/>
        <v>80715</v>
      </c>
      <c r="O106">
        <f>IF(AND(A106&gt;0,A106&lt;999),IFERROR(VLOOKUP(results0119[[#This Row],[Card]],U14M[],1,FALSE),0),0)</f>
        <v>0</v>
      </c>
      <c r="P106">
        <f t="shared" si="13"/>
        <v>999</v>
      </c>
      <c r="Q106" s="5">
        <f t="shared" si="14"/>
        <v>11</v>
      </c>
      <c r="R106" s="5">
        <f t="shared" si="15"/>
        <v>999</v>
      </c>
    </row>
    <row r="107" spans="1:18" x14ac:dyDescent="0.25">
      <c r="A107" s="17">
        <v>999</v>
      </c>
      <c r="B107" s="18">
        <v>80628</v>
      </c>
      <c r="C107" s="18">
        <v>98</v>
      </c>
      <c r="D107" s="19" t="s">
        <v>58</v>
      </c>
      <c r="E107" s="19" t="s">
        <v>19</v>
      </c>
      <c r="F107" s="18">
        <v>4</v>
      </c>
      <c r="G107" s="19" t="s">
        <v>16</v>
      </c>
      <c r="H107" s="19">
        <v>26.78</v>
      </c>
      <c r="I107" s="19" t="s">
        <v>220</v>
      </c>
      <c r="J107" s="19"/>
      <c r="K107" s="20">
        <v>0</v>
      </c>
      <c r="N107">
        <f t="shared" si="12"/>
        <v>80628</v>
      </c>
      <c r="O107">
        <f>IF(AND(A107&gt;0,A107&lt;999),IFERROR(VLOOKUP(results0119[[#This Row],[Card]],U14M[],1,FALSE),0),0)</f>
        <v>0</v>
      </c>
      <c r="P107">
        <f t="shared" si="13"/>
        <v>999</v>
      </c>
      <c r="Q107" s="5">
        <f t="shared" si="14"/>
        <v>20</v>
      </c>
      <c r="R107" s="5">
        <f t="shared" si="15"/>
        <v>999</v>
      </c>
    </row>
    <row r="108" spans="1:18" x14ac:dyDescent="0.25">
      <c r="A108" s="13">
        <v>999</v>
      </c>
      <c r="B108" s="14">
        <v>78619</v>
      </c>
      <c r="C108" s="14">
        <v>73</v>
      </c>
      <c r="D108" s="15" t="s">
        <v>121</v>
      </c>
      <c r="E108" s="15" t="s">
        <v>61</v>
      </c>
      <c r="F108" s="14">
        <v>4</v>
      </c>
      <c r="G108" s="15" t="s">
        <v>16</v>
      </c>
      <c r="H108" s="15">
        <v>27.66</v>
      </c>
      <c r="I108" s="15" t="s">
        <v>220</v>
      </c>
      <c r="J108" s="15"/>
      <c r="K108" s="16">
        <v>0</v>
      </c>
      <c r="N108">
        <f t="shared" si="12"/>
        <v>78619</v>
      </c>
      <c r="O108">
        <f>IF(AND(A108&gt;0,A108&lt;999),IFERROR(VLOOKUP(results0119[[#This Row],[Card]],U14M[],1,FALSE),0),0)</f>
        <v>0</v>
      </c>
      <c r="P108">
        <f t="shared" si="13"/>
        <v>999</v>
      </c>
      <c r="Q108" s="5">
        <f t="shared" si="14"/>
        <v>31</v>
      </c>
      <c r="R108" s="5">
        <f t="shared" si="15"/>
        <v>999</v>
      </c>
    </row>
    <row r="109" spans="1:18" x14ac:dyDescent="0.25">
      <c r="A109" s="17">
        <v>999</v>
      </c>
      <c r="B109" s="18">
        <v>84692</v>
      </c>
      <c r="C109" s="18">
        <v>77</v>
      </c>
      <c r="D109" s="19" t="s">
        <v>173</v>
      </c>
      <c r="E109" s="19" t="s">
        <v>22</v>
      </c>
      <c r="F109" s="18">
        <v>4</v>
      </c>
      <c r="G109" s="19" t="s">
        <v>16</v>
      </c>
      <c r="H109" s="19">
        <v>31.19</v>
      </c>
      <c r="I109" s="19" t="s">
        <v>220</v>
      </c>
      <c r="J109" s="19"/>
      <c r="K109" s="20">
        <v>0</v>
      </c>
      <c r="N109">
        <f t="shared" si="12"/>
        <v>84692</v>
      </c>
      <c r="O109">
        <f>IF(AND(A109&gt;0,A109&lt;999),IFERROR(VLOOKUP(results0119[[#This Row],[Card]],U14M[],1,FALSE),0),0)</f>
        <v>0</v>
      </c>
      <c r="P109">
        <f t="shared" si="13"/>
        <v>999</v>
      </c>
      <c r="Q109" s="5">
        <f t="shared" si="14"/>
        <v>59</v>
      </c>
      <c r="R109" s="5">
        <f t="shared" si="15"/>
        <v>999</v>
      </c>
    </row>
    <row r="110" spans="1:18" x14ac:dyDescent="0.25">
      <c r="A110" s="13">
        <v>999</v>
      </c>
      <c r="B110" s="14">
        <v>78669</v>
      </c>
      <c r="C110" s="14">
        <v>43</v>
      </c>
      <c r="D110" s="15" t="s">
        <v>116</v>
      </c>
      <c r="E110" s="15" t="s">
        <v>117</v>
      </c>
      <c r="F110" s="14">
        <v>4</v>
      </c>
      <c r="G110" s="15" t="s">
        <v>16</v>
      </c>
      <c r="H110" s="15">
        <v>28.56</v>
      </c>
      <c r="I110" s="15" t="s">
        <v>220</v>
      </c>
      <c r="J110" s="15"/>
      <c r="K110" s="16">
        <v>0</v>
      </c>
      <c r="N110">
        <f t="shared" si="12"/>
        <v>78669</v>
      </c>
      <c r="O110">
        <f>IF(AND(A110&gt;0,A110&lt;999),IFERROR(VLOOKUP(results0119[[#This Row],[Card]],U14M[],1,FALSE),0),0)</f>
        <v>0</v>
      </c>
      <c r="P110">
        <f t="shared" si="13"/>
        <v>999</v>
      </c>
      <c r="Q110" s="5">
        <f t="shared" si="14"/>
        <v>40</v>
      </c>
      <c r="R110" s="5">
        <f t="shared" si="15"/>
        <v>999</v>
      </c>
    </row>
    <row r="111" spans="1:18" x14ac:dyDescent="0.25">
      <c r="A111" s="17">
        <v>999</v>
      </c>
      <c r="B111" s="18">
        <v>80615</v>
      </c>
      <c r="C111" s="18">
        <v>42</v>
      </c>
      <c r="D111" s="19" t="s">
        <v>292</v>
      </c>
      <c r="E111" s="19" t="s">
        <v>19</v>
      </c>
      <c r="F111" s="18">
        <v>4</v>
      </c>
      <c r="G111" s="19" t="s">
        <v>16</v>
      </c>
      <c r="H111" s="19">
        <v>28.16</v>
      </c>
      <c r="I111" s="19" t="s">
        <v>220</v>
      </c>
      <c r="J111" s="19"/>
      <c r="K111" s="20">
        <v>0</v>
      </c>
      <c r="N111">
        <f t="shared" si="12"/>
        <v>80615</v>
      </c>
      <c r="O111">
        <f>IF(AND(A111&gt;0,A111&lt;999),IFERROR(VLOOKUP(results0119[[#This Row],[Card]],U14M[],1,FALSE),0),0)</f>
        <v>0</v>
      </c>
      <c r="P111">
        <f t="shared" si="13"/>
        <v>999</v>
      </c>
      <c r="Q111" s="5">
        <f t="shared" si="14"/>
        <v>37</v>
      </c>
      <c r="R111" s="5">
        <f t="shared" si="15"/>
        <v>999</v>
      </c>
    </row>
    <row r="112" spans="1:18" x14ac:dyDescent="0.25">
      <c r="A112" s="13">
        <v>999</v>
      </c>
      <c r="B112" s="14">
        <v>85566</v>
      </c>
      <c r="C112" s="14">
        <v>22</v>
      </c>
      <c r="D112" s="15" t="s">
        <v>150</v>
      </c>
      <c r="E112" s="15" t="s">
        <v>117</v>
      </c>
      <c r="F112" s="14">
        <v>5</v>
      </c>
      <c r="G112" s="15" t="s">
        <v>16</v>
      </c>
      <c r="H112" s="15">
        <v>29.09</v>
      </c>
      <c r="I112" s="15" t="s">
        <v>220</v>
      </c>
      <c r="J112" s="15"/>
      <c r="K112" s="16">
        <v>0</v>
      </c>
      <c r="N112">
        <f t="shared" si="12"/>
        <v>85566</v>
      </c>
      <c r="O112">
        <f>IF(AND(A112&gt;0,A112&lt;999),IFERROR(VLOOKUP(results0119[[#This Row],[Card]],U14M[],1,FALSE),0),0)</f>
        <v>0</v>
      </c>
      <c r="P112">
        <f t="shared" si="13"/>
        <v>999</v>
      </c>
      <c r="Q112" s="5">
        <f t="shared" si="14"/>
        <v>44</v>
      </c>
      <c r="R112" s="5">
        <f t="shared" si="15"/>
        <v>999</v>
      </c>
    </row>
    <row r="113" spans="1:18" x14ac:dyDescent="0.25">
      <c r="A113" s="17">
        <v>999</v>
      </c>
      <c r="B113" s="18">
        <v>80809</v>
      </c>
      <c r="C113" s="18">
        <v>25</v>
      </c>
      <c r="D113" s="19" t="s">
        <v>53</v>
      </c>
      <c r="E113" s="19" t="s">
        <v>54</v>
      </c>
      <c r="F113" s="18">
        <v>4</v>
      </c>
      <c r="G113" s="19" t="s">
        <v>16</v>
      </c>
      <c r="H113" s="19">
        <v>25.86</v>
      </c>
      <c r="I113" s="19" t="s">
        <v>537</v>
      </c>
      <c r="J113" s="19"/>
      <c r="K113" s="20">
        <v>0</v>
      </c>
      <c r="N113">
        <f t="shared" si="12"/>
        <v>80809</v>
      </c>
      <c r="O113">
        <f>IF(AND(A113&gt;0,A113&lt;999),IFERROR(VLOOKUP(results0119[[#This Row],[Card]],U14M[],1,FALSE),0),0)</f>
        <v>0</v>
      </c>
      <c r="P113">
        <f t="shared" si="13"/>
        <v>999</v>
      </c>
      <c r="Q113" s="5">
        <f t="shared" si="14"/>
        <v>13</v>
      </c>
      <c r="R113" s="5">
        <f t="shared" si="15"/>
        <v>999</v>
      </c>
    </row>
    <row r="114" spans="1:18" x14ac:dyDescent="0.25">
      <c r="A114" s="31">
        <v>999</v>
      </c>
      <c r="B114" s="28">
        <v>80835</v>
      </c>
      <c r="C114" s="28">
        <v>7</v>
      </c>
      <c r="D114" s="29" t="s">
        <v>302</v>
      </c>
      <c r="E114" s="29" t="s">
        <v>54</v>
      </c>
      <c r="F114" s="28">
        <v>5</v>
      </c>
      <c r="G114" s="29" t="s">
        <v>16</v>
      </c>
      <c r="H114" s="29">
        <v>30.3</v>
      </c>
      <c r="I114" s="29" t="s">
        <v>538</v>
      </c>
      <c r="J114" s="29"/>
      <c r="K114" s="30">
        <v>0</v>
      </c>
      <c r="N114">
        <f t="shared" si="12"/>
        <v>80835</v>
      </c>
      <c r="O114">
        <f>IF(AND(A114&gt;0,A114&lt;999),IFERROR(VLOOKUP(results0119[[#This Row],[Card]],U14M[],1,FALSE),0),0)</f>
        <v>0</v>
      </c>
      <c r="P114">
        <f t="shared" si="13"/>
        <v>999</v>
      </c>
      <c r="Q114" s="5">
        <f t="shared" si="14"/>
        <v>54</v>
      </c>
      <c r="R114" s="5">
        <f t="shared" si="15"/>
        <v>999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workbookViewId="0">
      <selection activeCell="M7" sqref="M7"/>
    </sheetView>
  </sheetViews>
  <sheetFormatPr defaultRowHeight="15" x14ac:dyDescent="0.25"/>
  <cols>
    <col min="1" max="1" width="7.42578125" bestFit="1" customWidth="1"/>
    <col min="2" max="2" width="7.140625" bestFit="1" customWidth="1"/>
    <col min="3" max="3" width="5.85546875" bestFit="1" customWidth="1"/>
    <col min="4" max="4" width="24.5703125" bestFit="1" customWidth="1"/>
    <col min="5" max="5" width="7" bestFit="1" customWidth="1"/>
    <col min="6" max="6" width="6.7109375" bestFit="1" customWidth="1"/>
    <col min="7" max="7" width="10.7109375" bestFit="1" customWidth="1"/>
    <col min="8" max="8" width="9.42578125" bestFit="1" customWidth="1"/>
    <col min="9" max="9" width="9.7109375" bestFit="1" customWidth="1"/>
    <col min="10" max="10" width="12" bestFit="1" customWidth="1"/>
    <col min="11" max="11" width="8.42578125" bestFit="1" customWidth="1"/>
  </cols>
  <sheetData>
    <row r="1" spans="1:16" ht="14.45" x14ac:dyDescent="0.3">
      <c r="A1" s="11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N1" s="21" t="s">
        <v>3</v>
      </c>
      <c r="O1" s="21" t="s">
        <v>226</v>
      </c>
      <c r="P1" s="21" t="s">
        <v>8</v>
      </c>
    </row>
    <row r="2" spans="1:16" ht="14.45" x14ac:dyDescent="0.3">
      <c r="A2" s="14">
        <v>1</v>
      </c>
      <c r="B2" s="14">
        <v>78517</v>
      </c>
      <c r="C2" s="14">
        <v>46</v>
      </c>
      <c r="D2" s="15" t="s">
        <v>14</v>
      </c>
      <c r="E2" s="15" t="s">
        <v>15</v>
      </c>
      <c r="F2" s="14">
        <v>4</v>
      </c>
      <c r="G2" s="15" t="s">
        <v>16</v>
      </c>
      <c r="H2" s="15" t="s">
        <v>542</v>
      </c>
      <c r="I2" s="15"/>
      <c r="J2" s="15" t="s">
        <v>542</v>
      </c>
      <c r="K2" s="16">
        <v>0</v>
      </c>
      <c r="N2">
        <f t="shared" ref="N2:N33" si="0">B2</f>
        <v>78517</v>
      </c>
      <c r="O2">
        <f>IF(AND(A2&gt;0,A2&lt;999),IFERROR(VLOOKUP(results0121[[#This Row],[Card]],U14M[],1,FALSE),0),0)</f>
        <v>78517</v>
      </c>
      <c r="P2">
        <f t="shared" ref="P2:P33" si="1">A2</f>
        <v>1</v>
      </c>
    </row>
    <row r="3" spans="1:16" ht="14.45" x14ac:dyDescent="0.3">
      <c r="A3" s="18">
        <v>2</v>
      </c>
      <c r="B3" s="18">
        <v>81073</v>
      </c>
      <c r="C3" s="18">
        <v>18</v>
      </c>
      <c r="D3" s="19" t="s">
        <v>40</v>
      </c>
      <c r="E3" s="19" t="s">
        <v>15</v>
      </c>
      <c r="F3" s="18">
        <v>4</v>
      </c>
      <c r="G3" s="19" t="s">
        <v>16</v>
      </c>
      <c r="H3" s="19" t="s">
        <v>543</v>
      </c>
      <c r="I3" s="19"/>
      <c r="J3" s="19" t="s">
        <v>543</v>
      </c>
      <c r="K3" s="20">
        <v>19.09</v>
      </c>
      <c r="N3">
        <f t="shared" si="0"/>
        <v>81073</v>
      </c>
      <c r="O3">
        <f>IF(AND(A3&gt;0,A3&lt;999),IFERROR(VLOOKUP(results0121[[#This Row],[Card]],U14M[],1,FALSE),0),0)</f>
        <v>81073</v>
      </c>
      <c r="P3">
        <f t="shared" si="1"/>
        <v>2</v>
      </c>
    </row>
    <row r="4" spans="1:16" ht="14.45" x14ac:dyDescent="0.3">
      <c r="A4" s="14">
        <v>3</v>
      </c>
      <c r="B4" s="14">
        <v>82431</v>
      </c>
      <c r="C4" s="14">
        <v>5</v>
      </c>
      <c r="D4" s="15" t="s">
        <v>41</v>
      </c>
      <c r="E4" s="15" t="s">
        <v>42</v>
      </c>
      <c r="F4" s="14">
        <v>4</v>
      </c>
      <c r="G4" s="15" t="s">
        <v>16</v>
      </c>
      <c r="H4" s="15" t="s">
        <v>360</v>
      </c>
      <c r="I4" s="15"/>
      <c r="J4" s="15" t="s">
        <v>360</v>
      </c>
      <c r="K4" s="16">
        <v>19.48</v>
      </c>
      <c r="N4">
        <f t="shared" si="0"/>
        <v>82431</v>
      </c>
      <c r="O4">
        <f>IF(AND(A4&gt;0,A4&lt;999),IFERROR(VLOOKUP(results0121[[#This Row],[Card]],U14M[],1,FALSE),0),0)</f>
        <v>82431</v>
      </c>
      <c r="P4">
        <f t="shared" si="1"/>
        <v>3</v>
      </c>
    </row>
    <row r="5" spans="1:16" ht="14.45" x14ac:dyDescent="0.3">
      <c r="A5" s="18">
        <v>4</v>
      </c>
      <c r="B5" s="18">
        <v>76653</v>
      </c>
      <c r="C5" s="18">
        <v>8</v>
      </c>
      <c r="D5" s="19" t="s">
        <v>37</v>
      </c>
      <c r="E5" s="19" t="s">
        <v>38</v>
      </c>
      <c r="F5" s="18">
        <v>4</v>
      </c>
      <c r="G5" s="19" t="s">
        <v>16</v>
      </c>
      <c r="H5" s="19" t="s">
        <v>544</v>
      </c>
      <c r="I5" s="19"/>
      <c r="J5" s="19" t="s">
        <v>544</v>
      </c>
      <c r="K5" s="20">
        <v>22.59</v>
      </c>
      <c r="N5">
        <f t="shared" si="0"/>
        <v>76653</v>
      </c>
      <c r="O5">
        <f>IF(AND(A5&gt;0,A5&lt;999),IFERROR(VLOOKUP(results0121[[#This Row],[Card]],U14M[],1,FALSE),0),0)</f>
        <v>76653</v>
      </c>
      <c r="P5">
        <f t="shared" si="1"/>
        <v>4</v>
      </c>
    </row>
    <row r="6" spans="1:16" ht="14.45" x14ac:dyDescent="0.3">
      <c r="A6" s="14">
        <v>5</v>
      </c>
      <c r="B6" s="14">
        <v>80709</v>
      </c>
      <c r="C6" s="14">
        <v>83</v>
      </c>
      <c r="D6" s="15" t="s">
        <v>24</v>
      </c>
      <c r="E6" s="15" t="s">
        <v>22</v>
      </c>
      <c r="F6" s="14">
        <v>5</v>
      </c>
      <c r="G6" s="15" t="s">
        <v>16</v>
      </c>
      <c r="H6" s="15" t="s">
        <v>295</v>
      </c>
      <c r="I6" s="15"/>
      <c r="J6" s="15" t="s">
        <v>295</v>
      </c>
      <c r="K6" s="16">
        <v>23.18</v>
      </c>
      <c r="N6">
        <f t="shared" si="0"/>
        <v>80709</v>
      </c>
      <c r="O6">
        <f>IF(AND(A6&gt;0,A6&lt;999),IFERROR(VLOOKUP(results0121[[#This Row],[Card]],U14M[],1,FALSE),0),0)</f>
        <v>80709</v>
      </c>
      <c r="P6">
        <f t="shared" si="1"/>
        <v>5</v>
      </c>
    </row>
    <row r="7" spans="1:16" ht="14.45" x14ac:dyDescent="0.3">
      <c r="A7" s="18">
        <v>6</v>
      </c>
      <c r="B7" s="18">
        <v>77368</v>
      </c>
      <c r="C7" s="18">
        <v>85</v>
      </c>
      <c r="D7" s="19" t="s">
        <v>35</v>
      </c>
      <c r="E7" s="19" t="s">
        <v>15</v>
      </c>
      <c r="F7" s="18">
        <v>4</v>
      </c>
      <c r="G7" s="19" t="s">
        <v>16</v>
      </c>
      <c r="H7" s="19" t="s">
        <v>545</v>
      </c>
      <c r="I7" s="19"/>
      <c r="J7" s="19" t="s">
        <v>545</v>
      </c>
      <c r="K7" s="20">
        <v>25.32</v>
      </c>
      <c r="N7">
        <f t="shared" si="0"/>
        <v>77368</v>
      </c>
      <c r="O7">
        <f>IF(AND(A7&gt;0,A7&lt;999),IFERROR(VLOOKUP(results0121[[#This Row],[Card]],U14M[],1,FALSE),0),0)</f>
        <v>77368</v>
      </c>
      <c r="P7">
        <f t="shared" si="1"/>
        <v>6</v>
      </c>
    </row>
    <row r="8" spans="1:16" ht="14.45" x14ac:dyDescent="0.3">
      <c r="A8" s="14">
        <v>7</v>
      </c>
      <c r="B8" s="14">
        <v>80621</v>
      </c>
      <c r="C8" s="14">
        <v>79</v>
      </c>
      <c r="D8" s="15" t="s">
        <v>18</v>
      </c>
      <c r="E8" s="15" t="s">
        <v>19</v>
      </c>
      <c r="F8" s="14">
        <v>4</v>
      </c>
      <c r="G8" s="15" t="s">
        <v>16</v>
      </c>
      <c r="H8" s="15" t="s">
        <v>546</v>
      </c>
      <c r="I8" s="15"/>
      <c r="J8" s="15" t="s">
        <v>546</v>
      </c>
      <c r="K8" s="16">
        <v>27.27</v>
      </c>
      <c r="N8">
        <f t="shared" si="0"/>
        <v>80621</v>
      </c>
      <c r="O8">
        <f>IF(AND(A8&gt;0,A8&lt;999),IFERROR(VLOOKUP(results0121[[#This Row],[Card]],U14M[],1,FALSE),0),0)</f>
        <v>80621</v>
      </c>
      <c r="P8">
        <f t="shared" si="1"/>
        <v>7</v>
      </c>
    </row>
    <row r="9" spans="1:16" ht="14.45" x14ac:dyDescent="0.3">
      <c r="A9" s="18">
        <v>8</v>
      </c>
      <c r="B9" s="18">
        <v>82314</v>
      </c>
      <c r="C9" s="18">
        <v>80</v>
      </c>
      <c r="D9" s="19" t="s">
        <v>78</v>
      </c>
      <c r="E9" s="19" t="s">
        <v>15</v>
      </c>
      <c r="F9" s="18">
        <v>4</v>
      </c>
      <c r="G9" s="19" t="s">
        <v>16</v>
      </c>
      <c r="H9" s="19" t="s">
        <v>547</v>
      </c>
      <c r="I9" s="19"/>
      <c r="J9" s="19" t="s">
        <v>547</v>
      </c>
      <c r="K9" s="20">
        <v>29.21</v>
      </c>
      <c r="N9">
        <f t="shared" si="0"/>
        <v>82314</v>
      </c>
      <c r="O9">
        <f>IF(AND(A9&gt;0,A9&lt;999),IFERROR(VLOOKUP(results0121[[#This Row],[Card]],U14M[],1,FALSE),0),0)</f>
        <v>82314</v>
      </c>
      <c r="P9">
        <f t="shared" si="1"/>
        <v>8</v>
      </c>
    </row>
    <row r="10" spans="1:16" ht="14.45" x14ac:dyDescent="0.3">
      <c r="A10" s="14">
        <v>9</v>
      </c>
      <c r="B10" s="14">
        <v>80680</v>
      </c>
      <c r="C10" s="14">
        <v>82</v>
      </c>
      <c r="D10" s="15" t="s">
        <v>28</v>
      </c>
      <c r="E10" s="15" t="s">
        <v>15</v>
      </c>
      <c r="F10" s="14">
        <v>4</v>
      </c>
      <c r="G10" s="15" t="s">
        <v>16</v>
      </c>
      <c r="H10" s="15" t="s">
        <v>75</v>
      </c>
      <c r="I10" s="15"/>
      <c r="J10" s="15" t="s">
        <v>75</v>
      </c>
      <c r="K10" s="16">
        <v>29.8</v>
      </c>
      <c r="N10">
        <f t="shared" si="0"/>
        <v>80680</v>
      </c>
      <c r="O10">
        <f>IF(AND(A10&gt;0,A10&lt;999),IFERROR(VLOOKUP(results0121[[#This Row],[Card]],U14M[],1,FALSE),0),0)</f>
        <v>80680</v>
      </c>
      <c r="P10">
        <f t="shared" si="1"/>
        <v>9</v>
      </c>
    </row>
    <row r="11" spans="1:16" ht="14.45" x14ac:dyDescent="0.3">
      <c r="A11" s="18">
        <v>10</v>
      </c>
      <c r="B11" s="18">
        <v>84829</v>
      </c>
      <c r="C11" s="18">
        <v>60</v>
      </c>
      <c r="D11" s="19" t="s">
        <v>68</v>
      </c>
      <c r="E11" s="19" t="s">
        <v>15</v>
      </c>
      <c r="F11" s="18">
        <v>5</v>
      </c>
      <c r="G11" s="19" t="s">
        <v>16</v>
      </c>
      <c r="H11" s="19" t="s">
        <v>548</v>
      </c>
      <c r="I11" s="19"/>
      <c r="J11" s="19" t="s">
        <v>548</v>
      </c>
      <c r="K11" s="20">
        <v>33.5</v>
      </c>
      <c r="N11">
        <f t="shared" si="0"/>
        <v>84829</v>
      </c>
      <c r="O11">
        <f>IF(AND(A11&gt;0,A11&lt;999),IFERROR(VLOOKUP(results0121[[#This Row],[Card]],U14M[],1,FALSE),0),0)</f>
        <v>84829</v>
      </c>
      <c r="P11">
        <f t="shared" si="1"/>
        <v>10</v>
      </c>
    </row>
    <row r="12" spans="1:16" ht="14.45" x14ac:dyDescent="0.3">
      <c r="A12" s="14">
        <v>11</v>
      </c>
      <c r="B12" s="14">
        <v>80610</v>
      </c>
      <c r="C12" s="14">
        <v>11</v>
      </c>
      <c r="D12" s="15" t="s">
        <v>219</v>
      </c>
      <c r="E12" s="15" t="s">
        <v>15</v>
      </c>
      <c r="F12" s="14">
        <v>5</v>
      </c>
      <c r="G12" s="15" t="s">
        <v>16</v>
      </c>
      <c r="H12" s="15" t="s">
        <v>549</v>
      </c>
      <c r="I12" s="15"/>
      <c r="J12" s="15" t="s">
        <v>549</v>
      </c>
      <c r="K12" s="16">
        <v>34.28</v>
      </c>
      <c r="N12">
        <f t="shared" si="0"/>
        <v>80610</v>
      </c>
      <c r="O12">
        <f>IF(AND(A12&gt;0,A12&lt;999),IFERROR(VLOOKUP(results0121[[#This Row],[Card]],U14M[],1,FALSE),0),0)</f>
        <v>80610</v>
      </c>
      <c r="P12">
        <f t="shared" si="1"/>
        <v>11</v>
      </c>
    </row>
    <row r="13" spans="1:16" ht="14.45" x14ac:dyDescent="0.3">
      <c r="A13" s="18">
        <v>12</v>
      </c>
      <c r="B13" s="18">
        <v>80717</v>
      </c>
      <c r="C13" s="18">
        <v>70</v>
      </c>
      <c r="D13" s="19" t="s">
        <v>26</v>
      </c>
      <c r="E13" s="19" t="s">
        <v>22</v>
      </c>
      <c r="F13" s="18">
        <v>4</v>
      </c>
      <c r="G13" s="19" t="s">
        <v>16</v>
      </c>
      <c r="H13" s="19" t="s">
        <v>367</v>
      </c>
      <c r="I13" s="19"/>
      <c r="J13" s="19" t="s">
        <v>367</v>
      </c>
      <c r="K13" s="20">
        <v>36.03</v>
      </c>
      <c r="N13">
        <f t="shared" si="0"/>
        <v>80717</v>
      </c>
      <c r="O13">
        <f>IF(AND(A13&gt;0,A13&lt;999),IFERROR(VLOOKUP(results0121[[#This Row],[Card]],U14M[],1,FALSE),0),0)</f>
        <v>80717</v>
      </c>
      <c r="P13">
        <f t="shared" si="1"/>
        <v>12</v>
      </c>
    </row>
    <row r="14" spans="1:16" ht="14.45" x14ac:dyDescent="0.3">
      <c r="A14" s="14">
        <v>13</v>
      </c>
      <c r="B14" s="14">
        <v>80713</v>
      </c>
      <c r="C14" s="14">
        <v>16</v>
      </c>
      <c r="D14" s="15" t="s">
        <v>21</v>
      </c>
      <c r="E14" s="15" t="s">
        <v>22</v>
      </c>
      <c r="F14" s="14">
        <v>4</v>
      </c>
      <c r="G14" s="15" t="s">
        <v>16</v>
      </c>
      <c r="H14" s="15" t="s">
        <v>89</v>
      </c>
      <c r="I14" s="15"/>
      <c r="J14" s="15" t="s">
        <v>89</v>
      </c>
      <c r="K14" s="16">
        <v>37</v>
      </c>
      <c r="N14">
        <f t="shared" si="0"/>
        <v>80713</v>
      </c>
      <c r="O14">
        <f>IF(AND(A14&gt;0,A14&lt;999),IFERROR(VLOOKUP(results0121[[#This Row],[Card]],U14M[],1,FALSE),0),0)</f>
        <v>80713</v>
      </c>
      <c r="P14">
        <f t="shared" si="1"/>
        <v>13</v>
      </c>
    </row>
    <row r="15" spans="1:16" ht="14.45" x14ac:dyDescent="0.3">
      <c r="A15" s="18">
        <v>14</v>
      </c>
      <c r="B15" s="18">
        <v>80669</v>
      </c>
      <c r="C15" s="18">
        <v>66</v>
      </c>
      <c r="D15" s="19" t="s">
        <v>70</v>
      </c>
      <c r="E15" s="19" t="s">
        <v>15</v>
      </c>
      <c r="F15" s="18">
        <v>4</v>
      </c>
      <c r="G15" s="19" t="s">
        <v>16</v>
      </c>
      <c r="H15" s="19" t="s">
        <v>550</v>
      </c>
      <c r="I15" s="19"/>
      <c r="J15" s="19" t="s">
        <v>550</v>
      </c>
      <c r="K15" s="20">
        <v>39.15</v>
      </c>
      <c r="N15">
        <f t="shared" si="0"/>
        <v>80669</v>
      </c>
      <c r="O15">
        <f>IF(AND(A15&gt;0,A15&lt;999),IFERROR(VLOOKUP(results0121[[#This Row],[Card]],U14M[],1,FALSE),0),0)</f>
        <v>80669</v>
      </c>
      <c r="P15">
        <f t="shared" si="1"/>
        <v>14</v>
      </c>
    </row>
    <row r="16" spans="1:16" ht="14.45" x14ac:dyDescent="0.3">
      <c r="A16" s="14">
        <v>15</v>
      </c>
      <c r="B16" s="14">
        <v>80683</v>
      </c>
      <c r="C16" s="14">
        <v>52</v>
      </c>
      <c r="D16" s="15" t="s">
        <v>67</v>
      </c>
      <c r="E16" s="15" t="s">
        <v>15</v>
      </c>
      <c r="F16" s="14">
        <v>4</v>
      </c>
      <c r="G16" s="15" t="s">
        <v>16</v>
      </c>
      <c r="H16" s="15" t="s">
        <v>551</v>
      </c>
      <c r="I16" s="15"/>
      <c r="J16" s="15" t="s">
        <v>551</v>
      </c>
      <c r="K16" s="16">
        <v>41.09</v>
      </c>
      <c r="N16">
        <f t="shared" si="0"/>
        <v>80683</v>
      </c>
      <c r="O16">
        <f>IF(AND(A16&gt;0,A16&lt;999),IFERROR(VLOOKUP(results0121[[#This Row],[Card]],U14M[],1,FALSE),0),0)</f>
        <v>80683</v>
      </c>
      <c r="P16">
        <f t="shared" si="1"/>
        <v>15</v>
      </c>
    </row>
    <row r="17" spans="1:16" ht="14.45" x14ac:dyDescent="0.3">
      <c r="A17" s="18">
        <v>16</v>
      </c>
      <c r="B17" s="18">
        <v>80715</v>
      </c>
      <c r="C17" s="18">
        <v>20</v>
      </c>
      <c r="D17" s="19" t="s">
        <v>65</v>
      </c>
      <c r="E17" s="19" t="s">
        <v>22</v>
      </c>
      <c r="F17" s="18">
        <v>4</v>
      </c>
      <c r="G17" s="19" t="s">
        <v>16</v>
      </c>
      <c r="H17" s="19" t="s">
        <v>552</v>
      </c>
      <c r="I17" s="19"/>
      <c r="J17" s="19" t="s">
        <v>552</v>
      </c>
      <c r="K17" s="20">
        <v>46.94</v>
      </c>
      <c r="N17">
        <f t="shared" si="0"/>
        <v>80715</v>
      </c>
      <c r="O17">
        <f>IF(AND(A17&gt;0,A17&lt;999),IFERROR(VLOOKUP(results0121[[#This Row],[Card]],U14M[],1,FALSE),0),0)</f>
        <v>80715</v>
      </c>
      <c r="P17">
        <f t="shared" si="1"/>
        <v>16</v>
      </c>
    </row>
    <row r="18" spans="1:16" ht="14.45" x14ac:dyDescent="0.3">
      <c r="A18" s="14">
        <v>16</v>
      </c>
      <c r="B18" s="14">
        <v>75018</v>
      </c>
      <c r="C18" s="14">
        <v>7</v>
      </c>
      <c r="D18" s="15" t="s">
        <v>60</v>
      </c>
      <c r="E18" s="15" t="s">
        <v>61</v>
      </c>
      <c r="F18" s="14">
        <v>4</v>
      </c>
      <c r="G18" s="15" t="s">
        <v>16</v>
      </c>
      <c r="H18" s="15" t="s">
        <v>552</v>
      </c>
      <c r="I18" s="15"/>
      <c r="J18" s="15" t="s">
        <v>552</v>
      </c>
      <c r="K18" s="16">
        <v>46.94</v>
      </c>
      <c r="N18">
        <f t="shared" si="0"/>
        <v>75018</v>
      </c>
      <c r="O18">
        <f>IF(AND(A18&gt;0,A18&lt;999),IFERROR(VLOOKUP(results0121[[#This Row],[Card]],U14M[],1,FALSE),0),0)</f>
        <v>75018</v>
      </c>
      <c r="P18">
        <f t="shared" si="1"/>
        <v>16</v>
      </c>
    </row>
    <row r="19" spans="1:16" ht="14.45" x14ac:dyDescent="0.3">
      <c r="A19" s="18">
        <v>18</v>
      </c>
      <c r="B19" s="18">
        <v>85883</v>
      </c>
      <c r="C19" s="18">
        <v>58</v>
      </c>
      <c r="D19" s="19" t="s">
        <v>51</v>
      </c>
      <c r="E19" s="19" t="s">
        <v>15</v>
      </c>
      <c r="F19" s="18">
        <v>4</v>
      </c>
      <c r="G19" s="19" t="s">
        <v>16</v>
      </c>
      <c r="H19" s="19" t="s">
        <v>95</v>
      </c>
      <c r="I19" s="19"/>
      <c r="J19" s="19" t="s">
        <v>95</v>
      </c>
      <c r="K19" s="20">
        <v>49.08</v>
      </c>
      <c r="N19">
        <f t="shared" si="0"/>
        <v>85883</v>
      </c>
      <c r="O19">
        <f>IF(AND(A19&gt;0,A19&lt;999),IFERROR(VLOOKUP(results0121[[#This Row],[Card]],U14M[],1,FALSE),0),0)</f>
        <v>85883</v>
      </c>
      <c r="P19">
        <f t="shared" si="1"/>
        <v>18</v>
      </c>
    </row>
    <row r="20" spans="1:16" ht="14.45" x14ac:dyDescent="0.3">
      <c r="A20" s="14">
        <v>19</v>
      </c>
      <c r="B20" s="14">
        <v>81108</v>
      </c>
      <c r="C20" s="14">
        <v>89</v>
      </c>
      <c r="D20" s="15" t="s">
        <v>44</v>
      </c>
      <c r="E20" s="15" t="s">
        <v>22</v>
      </c>
      <c r="F20" s="14">
        <v>5</v>
      </c>
      <c r="G20" s="15" t="s">
        <v>16</v>
      </c>
      <c r="H20" s="15" t="s">
        <v>553</v>
      </c>
      <c r="I20" s="15"/>
      <c r="J20" s="15" t="s">
        <v>553</v>
      </c>
      <c r="K20" s="16">
        <v>50.83</v>
      </c>
      <c r="N20">
        <f t="shared" si="0"/>
        <v>81108</v>
      </c>
      <c r="O20">
        <f>IF(AND(A20&gt;0,A20&lt;999),IFERROR(VLOOKUP(results0121[[#This Row],[Card]],U14M[],1,FALSE),0),0)</f>
        <v>81108</v>
      </c>
      <c r="P20">
        <f t="shared" si="1"/>
        <v>19</v>
      </c>
    </row>
    <row r="21" spans="1:16" ht="14.45" x14ac:dyDescent="0.3">
      <c r="A21" s="18">
        <v>20</v>
      </c>
      <c r="B21" s="18">
        <v>82186</v>
      </c>
      <c r="C21" s="18">
        <v>1</v>
      </c>
      <c r="D21" s="19" t="s">
        <v>114</v>
      </c>
      <c r="E21" s="19" t="s">
        <v>15</v>
      </c>
      <c r="F21" s="18">
        <v>4</v>
      </c>
      <c r="G21" s="19" t="s">
        <v>16</v>
      </c>
      <c r="H21" s="19" t="s">
        <v>554</v>
      </c>
      <c r="I21" s="19"/>
      <c r="J21" s="19" t="s">
        <v>554</v>
      </c>
      <c r="K21" s="20">
        <v>54.92</v>
      </c>
      <c r="N21">
        <f t="shared" si="0"/>
        <v>82186</v>
      </c>
      <c r="O21">
        <f>IF(AND(A21&gt;0,A21&lt;999),IFERROR(VLOOKUP(results0121[[#This Row],[Card]],U14M[],1,FALSE),0),0)</f>
        <v>82186</v>
      </c>
      <c r="P21">
        <f t="shared" si="1"/>
        <v>20</v>
      </c>
    </row>
    <row r="22" spans="1:16" ht="14.45" x14ac:dyDescent="0.3">
      <c r="A22" s="14">
        <v>21</v>
      </c>
      <c r="B22" s="14">
        <v>77422</v>
      </c>
      <c r="C22" s="14">
        <v>24</v>
      </c>
      <c r="D22" s="15" t="s">
        <v>84</v>
      </c>
      <c r="E22" s="15" t="s">
        <v>54</v>
      </c>
      <c r="F22" s="14">
        <v>4</v>
      </c>
      <c r="G22" s="15" t="s">
        <v>16</v>
      </c>
      <c r="H22" s="15" t="s">
        <v>555</v>
      </c>
      <c r="I22" s="15"/>
      <c r="J22" s="15" t="s">
        <v>555</v>
      </c>
      <c r="K22" s="16">
        <v>59.98</v>
      </c>
      <c r="N22">
        <f t="shared" si="0"/>
        <v>77422</v>
      </c>
      <c r="O22">
        <f>IF(AND(A22&gt;0,A22&lt;999),IFERROR(VLOOKUP(results0121[[#This Row],[Card]],U14M[],1,FALSE),0),0)</f>
        <v>77422</v>
      </c>
      <c r="P22">
        <f t="shared" si="1"/>
        <v>21</v>
      </c>
    </row>
    <row r="23" spans="1:16" ht="14.45" x14ac:dyDescent="0.3">
      <c r="A23" s="18">
        <v>22</v>
      </c>
      <c r="B23" s="18">
        <v>80628</v>
      </c>
      <c r="C23" s="18">
        <v>41</v>
      </c>
      <c r="D23" s="19" t="s">
        <v>58</v>
      </c>
      <c r="E23" s="19" t="s">
        <v>19</v>
      </c>
      <c r="F23" s="18">
        <v>4</v>
      </c>
      <c r="G23" s="19" t="s">
        <v>16</v>
      </c>
      <c r="H23" s="19" t="s">
        <v>556</v>
      </c>
      <c r="I23" s="19"/>
      <c r="J23" s="19" t="s">
        <v>556</v>
      </c>
      <c r="K23" s="20">
        <v>64.66</v>
      </c>
      <c r="N23">
        <f t="shared" si="0"/>
        <v>80628</v>
      </c>
      <c r="O23">
        <f>IF(AND(A23&gt;0,A23&lt;999),IFERROR(VLOOKUP(results0121[[#This Row],[Card]],U14M[],1,FALSE),0),0)</f>
        <v>80628</v>
      </c>
      <c r="P23">
        <f t="shared" si="1"/>
        <v>22</v>
      </c>
    </row>
    <row r="24" spans="1:16" ht="14.45" x14ac:dyDescent="0.3">
      <c r="A24" s="14">
        <v>23</v>
      </c>
      <c r="B24" s="14">
        <v>85853</v>
      </c>
      <c r="C24" s="14">
        <v>4</v>
      </c>
      <c r="D24" s="15" t="s">
        <v>82</v>
      </c>
      <c r="E24" s="15" t="s">
        <v>15</v>
      </c>
      <c r="F24" s="14">
        <v>5</v>
      </c>
      <c r="G24" s="15" t="s">
        <v>16</v>
      </c>
      <c r="H24" s="15" t="s">
        <v>557</v>
      </c>
      <c r="I24" s="15"/>
      <c r="J24" s="15" t="s">
        <v>557</v>
      </c>
      <c r="K24" s="16">
        <v>70.7</v>
      </c>
      <c r="N24">
        <f t="shared" si="0"/>
        <v>85853</v>
      </c>
      <c r="O24">
        <f>IF(AND(A24&gt;0,A24&lt;999),IFERROR(VLOOKUP(results0121[[#This Row],[Card]],U14M[],1,FALSE),0),0)</f>
        <v>85853</v>
      </c>
      <c r="P24">
        <f t="shared" si="1"/>
        <v>23</v>
      </c>
    </row>
    <row r="25" spans="1:16" ht="14.45" x14ac:dyDescent="0.3">
      <c r="A25" s="18">
        <v>24</v>
      </c>
      <c r="B25" s="18">
        <v>80682</v>
      </c>
      <c r="C25" s="18">
        <v>69</v>
      </c>
      <c r="D25" s="19" t="s">
        <v>135</v>
      </c>
      <c r="E25" s="19" t="s">
        <v>15</v>
      </c>
      <c r="F25" s="18">
        <v>4</v>
      </c>
      <c r="G25" s="19" t="s">
        <v>16</v>
      </c>
      <c r="H25" s="19" t="s">
        <v>558</v>
      </c>
      <c r="I25" s="19"/>
      <c r="J25" s="19" t="s">
        <v>558</v>
      </c>
      <c r="K25" s="20">
        <v>70.89</v>
      </c>
      <c r="N25">
        <f t="shared" si="0"/>
        <v>80682</v>
      </c>
      <c r="O25">
        <f>IF(AND(A25&gt;0,A25&lt;999),IFERROR(VLOOKUP(results0121[[#This Row],[Card]],U14M[],1,FALSE),0),0)</f>
        <v>80682</v>
      </c>
      <c r="P25">
        <f t="shared" si="1"/>
        <v>24</v>
      </c>
    </row>
    <row r="26" spans="1:16" ht="14.45" x14ac:dyDescent="0.3">
      <c r="A26" s="14">
        <v>24</v>
      </c>
      <c r="B26" s="14">
        <v>82328</v>
      </c>
      <c r="C26" s="14">
        <v>54</v>
      </c>
      <c r="D26" s="15" t="s">
        <v>137</v>
      </c>
      <c r="E26" s="15" t="s">
        <v>15</v>
      </c>
      <c r="F26" s="14">
        <v>4</v>
      </c>
      <c r="G26" s="15" t="s">
        <v>16</v>
      </c>
      <c r="H26" s="15" t="s">
        <v>558</v>
      </c>
      <c r="I26" s="15"/>
      <c r="J26" s="15" t="s">
        <v>558</v>
      </c>
      <c r="K26" s="16">
        <v>70.89</v>
      </c>
      <c r="N26">
        <f t="shared" si="0"/>
        <v>82328</v>
      </c>
      <c r="O26">
        <f>IF(AND(A26&gt;0,A26&lt;999),IFERROR(VLOOKUP(results0121[[#This Row],[Card]],U14M[],1,FALSE),0),0)</f>
        <v>82328</v>
      </c>
      <c r="P26">
        <f t="shared" si="1"/>
        <v>24</v>
      </c>
    </row>
    <row r="27" spans="1:16" ht="14.45" x14ac:dyDescent="0.3">
      <c r="A27" s="18">
        <v>26</v>
      </c>
      <c r="B27" s="18">
        <v>81110</v>
      </c>
      <c r="C27" s="18">
        <v>77</v>
      </c>
      <c r="D27" s="19" t="s">
        <v>86</v>
      </c>
      <c r="E27" s="19" t="s">
        <v>22</v>
      </c>
      <c r="F27" s="18">
        <v>5</v>
      </c>
      <c r="G27" s="19" t="s">
        <v>16</v>
      </c>
      <c r="H27" s="19" t="s">
        <v>559</v>
      </c>
      <c r="I27" s="19"/>
      <c r="J27" s="19" t="s">
        <v>559</v>
      </c>
      <c r="K27" s="20">
        <v>73.42</v>
      </c>
      <c r="N27">
        <f t="shared" si="0"/>
        <v>81110</v>
      </c>
      <c r="O27">
        <f>IF(AND(A27&gt;0,A27&lt;999),IFERROR(VLOOKUP(results0121[[#This Row],[Card]],U14M[],1,FALSE),0),0)</f>
        <v>81110</v>
      </c>
      <c r="P27">
        <f t="shared" si="1"/>
        <v>26</v>
      </c>
    </row>
    <row r="28" spans="1:16" x14ac:dyDescent="0.25">
      <c r="A28" s="14">
        <v>27</v>
      </c>
      <c r="B28" s="14">
        <v>78610</v>
      </c>
      <c r="C28" s="14">
        <v>9</v>
      </c>
      <c r="D28" s="15" t="s">
        <v>133</v>
      </c>
      <c r="E28" s="15" t="s">
        <v>15</v>
      </c>
      <c r="F28" s="14">
        <v>5</v>
      </c>
      <c r="G28" s="15" t="s">
        <v>16</v>
      </c>
      <c r="H28" s="15" t="s">
        <v>560</v>
      </c>
      <c r="I28" s="15"/>
      <c r="J28" s="15" t="s">
        <v>560</v>
      </c>
      <c r="K28" s="16">
        <v>79.069999999999993</v>
      </c>
      <c r="N28">
        <f t="shared" si="0"/>
        <v>78610</v>
      </c>
      <c r="O28">
        <f>IF(AND(A28&gt;0,A28&lt;999),IFERROR(VLOOKUP(results0121[[#This Row],[Card]],U14M[],1,FALSE),0),0)</f>
        <v>78610</v>
      </c>
      <c r="P28">
        <f t="shared" si="1"/>
        <v>27</v>
      </c>
    </row>
    <row r="29" spans="1:16" x14ac:dyDescent="0.25">
      <c r="A29" s="18">
        <v>28</v>
      </c>
      <c r="B29" s="18">
        <v>80809</v>
      </c>
      <c r="C29" s="18">
        <v>26</v>
      </c>
      <c r="D29" s="19" t="s">
        <v>53</v>
      </c>
      <c r="E29" s="19" t="s">
        <v>54</v>
      </c>
      <c r="F29" s="18">
        <v>4</v>
      </c>
      <c r="G29" s="19" t="s">
        <v>16</v>
      </c>
      <c r="H29" s="19" t="s">
        <v>326</v>
      </c>
      <c r="I29" s="19"/>
      <c r="J29" s="19" t="s">
        <v>326</v>
      </c>
      <c r="K29" s="20">
        <v>82.38</v>
      </c>
      <c r="N29">
        <f t="shared" si="0"/>
        <v>80809</v>
      </c>
      <c r="O29">
        <f>IF(AND(A29&gt;0,A29&lt;999),IFERROR(VLOOKUP(results0121[[#This Row],[Card]],U14M[],1,FALSE),0),0)</f>
        <v>80809</v>
      </c>
      <c r="P29">
        <f t="shared" si="1"/>
        <v>28</v>
      </c>
    </row>
    <row r="30" spans="1:16" x14ac:dyDescent="0.25">
      <c r="A30" s="14">
        <v>29</v>
      </c>
      <c r="B30" s="14">
        <v>77258</v>
      </c>
      <c r="C30" s="14">
        <v>63</v>
      </c>
      <c r="D30" s="15" t="s">
        <v>214</v>
      </c>
      <c r="E30" s="15" t="s">
        <v>42</v>
      </c>
      <c r="F30" s="14">
        <v>4</v>
      </c>
      <c r="G30" s="15" t="s">
        <v>16</v>
      </c>
      <c r="H30" s="15" t="s">
        <v>561</v>
      </c>
      <c r="I30" s="15"/>
      <c r="J30" s="15" t="s">
        <v>561</v>
      </c>
      <c r="K30" s="16">
        <v>86.67</v>
      </c>
      <c r="N30">
        <f t="shared" si="0"/>
        <v>77258</v>
      </c>
      <c r="O30">
        <f>IF(AND(A30&gt;0,A30&lt;999),IFERROR(VLOOKUP(results0121[[#This Row],[Card]],U14M[],1,FALSE),0),0)</f>
        <v>77258</v>
      </c>
      <c r="P30">
        <f t="shared" si="1"/>
        <v>29</v>
      </c>
    </row>
    <row r="31" spans="1:16" x14ac:dyDescent="0.25">
      <c r="A31" s="18">
        <v>30</v>
      </c>
      <c r="B31" s="18">
        <v>76572</v>
      </c>
      <c r="C31" s="18">
        <v>65</v>
      </c>
      <c r="D31" s="19" t="s">
        <v>109</v>
      </c>
      <c r="E31" s="19" t="s">
        <v>38</v>
      </c>
      <c r="F31" s="18">
        <v>4</v>
      </c>
      <c r="G31" s="19" t="s">
        <v>16</v>
      </c>
      <c r="H31" s="19" t="s">
        <v>562</v>
      </c>
      <c r="I31" s="19"/>
      <c r="J31" s="19" t="s">
        <v>562</v>
      </c>
      <c r="K31" s="20">
        <v>89.78</v>
      </c>
      <c r="N31">
        <f t="shared" si="0"/>
        <v>76572</v>
      </c>
      <c r="O31">
        <f>IF(AND(A31&gt;0,A31&lt;999),IFERROR(VLOOKUP(results0121[[#This Row],[Card]],U14M[],1,FALSE),0),0)</f>
        <v>76572</v>
      </c>
      <c r="P31">
        <f t="shared" si="1"/>
        <v>30</v>
      </c>
    </row>
    <row r="32" spans="1:16" x14ac:dyDescent="0.25">
      <c r="A32" s="14">
        <v>31</v>
      </c>
      <c r="B32" s="14">
        <v>80720</v>
      </c>
      <c r="C32" s="14">
        <v>13</v>
      </c>
      <c r="D32" s="15" t="s">
        <v>98</v>
      </c>
      <c r="E32" s="15" t="s">
        <v>22</v>
      </c>
      <c r="F32" s="14">
        <v>5</v>
      </c>
      <c r="G32" s="15" t="s">
        <v>16</v>
      </c>
      <c r="H32" s="15" t="s">
        <v>563</v>
      </c>
      <c r="I32" s="15"/>
      <c r="J32" s="15" t="s">
        <v>563</v>
      </c>
      <c r="K32" s="16">
        <v>92.12</v>
      </c>
      <c r="N32">
        <f t="shared" si="0"/>
        <v>80720</v>
      </c>
      <c r="O32">
        <f>IF(AND(A32&gt;0,A32&lt;999),IFERROR(VLOOKUP(results0121[[#This Row],[Card]],U14M[],1,FALSE),0),0)</f>
        <v>80720</v>
      </c>
      <c r="P32">
        <f t="shared" si="1"/>
        <v>31</v>
      </c>
    </row>
    <row r="33" spans="1:16" x14ac:dyDescent="0.25">
      <c r="A33" s="18">
        <v>32</v>
      </c>
      <c r="B33" s="18">
        <v>81112</v>
      </c>
      <c r="C33" s="18">
        <v>40</v>
      </c>
      <c r="D33" s="19" t="s">
        <v>63</v>
      </c>
      <c r="E33" s="19" t="s">
        <v>22</v>
      </c>
      <c r="F33" s="18">
        <v>4</v>
      </c>
      <c r="G33" s="19" t="s">
        <v>16</v>
      </c>
      <c r="H33" s="19" t="s">
        <v>564</v>
      </c>
      <c r="I33" s="19"/>
      <c r="J33" s="19" t="s">
        <v>564</v>
      </c>
      <c r="K33" s="20">
        <v>93.68</v>
      </c>
      <c r="N33">
        <f t="shared" si="0"/>
        <v>81112</v>
      </c>
      <c r="O33">
        <f>IF(AND(A33&gt;0,A33&lt;999),IFERROR(VLOOKUP(results0121[[#This Row],[Card]],U14M[],1,FALSE),0),0)</f>
        <v>81112</v>
      </c>
      <c r="P33">
        <f t="shared" si="1"/>
        <v>32</v>
      </c>
    </row>
    <row r="34" spans="1:16" x14ac:dyDescent="0.25">
      <c r="A34" s="14">
        <v>33</v>
      </c>
      <c r="B34" s="14">
        <v>84763</v>
      </c>
      <c r="C34" s="14">
        <v>35</v>
      </c>
      <c r="D34" s="15" t="s">
        <v>103</v>
      </c>
      <c r="E34" s="15" t="s">
        <v>15</v>
      </c>
      <c r="F34" s="14">
        <v>5</v>
      </c>
      <c r="G34" s="15" t="s">
        <v>16</v>
      </c>
      <c r="H34" s="15" t="s">
        <v>370</v>
      </c>
      <c r="I34" s="15"/>
      <c r="J34" s="15" t="s">
        <v>370</v>
      </c>
      <c r="K34" s="16">
        <v>97.18</v>
      </c>
      <c r="N34">
        <f t="shared" ref="N34:N65" si="2">B34</f>
        <v>84763</v>
      </c>
      <c r="O34">
        <f>IF(AND(A34&gt;0,A34&lt;999),IFERROR(VLOOKUP(results0121[[#This Row],[Card]],U14M[],1,FALSE),0),0)</f>
        <v>84763</v>
      </c>
      <c r="P34">
        <f t="shared" ref="P34:P65" si="3">A34</f>
        <v>33</v>
      </c>
    </row>
    <row r="35" spans="1:16" x14ac:dyDescent="0.25">
      <c r="A35" s="18">
        <v>34</v>
      </c>
      <c r="B35" s="18">
        <v>85546</v>
      </c>
      <c r="C35" s="18">
        <v>75</v>
      </c>
      <c r="D35" s="19" t="s">
        <v>221</v>
      </c>
      <c r="E35" s="19" t="s">
        <v>117</v>
      </c>
      <c r="F35" s="18">
        <v>4</v>
      </c>
      <c r="G35" s="19" t="s">
        <v>16</v>
      </c>
      <c r="H35" s="19" t="s">
        <v>565</v>
      </c>
      <c r="I35" s="19"/>
      <c r="J35" s="19" t="s">
        <v>565</v>
      </c>
      <c r="K35" s="20">
        <v>97.77</v>
      </c>
      <c r="N35">
        <f t="shared" si="2"/>
        <v>85546</v>
      </c>
      <c r="O35">
        <f>IF(AND(A35&gt;0,A35&lt;999),IFERROR(VLOOKUP(results0121[[#This Row],[Card]],U14M[],1,FALSE),0),0)</f>
        <v>85546</v>
      </c>
      <c r="P35">
        <f t="shared" si="3"/>
        <v>34</v>
      </c>
    </row>
    <row r="36" spans="1:16" x14ac:dyDescent="0.25">
      <c r="A36" s="14">
        <v>35</v>
      </c>
      <c r="B36" s="14">
        <v>80718</v>
      </c>
      <c r="C36" s="14">
        <v>64</v>
      </c>
      <c r="D36" s="15" t="s">
        <v>94</v>
      </c>
      <c r="E36" s="15" t="s">
        <v>22</v>
      </c>
      <c r="F36" s="14">
        <v>4</v>
      </c>
      <c r="G36" s="15" t="s">
        <v>16</v>
      </c>
      <c r="H36" s="15" t="s">
        <v>566</v>
      </c>
      <c r="I36" s="15"/>
      <c r="J36" s="15" t="s">
        <v>566</v>
      </c>
      <c r="K36" s="16">
        <v>100.3</v>
      </c>
      <c r="N36">
        <f t="shared" si="2"/>
        <v>80718</v>
      </c>
      <c r="O36">
        <f>IF(AND(A36&gt;0,A36&lt;999),IFERROR(VLOOKUP(results0121[[#This Row],[Card]],U14M[],1,FALSE),0),0)</f>
        <v>80718</v>
      </c>
      <c r="P36">
        <f t="shared" si="3"/>
        <v>35</v>
      </c>
    </row>
    <row r="37" spans="1:16" x14ac:dyDescent="0.25">
      <c r="A37" s="18">
        <v>36</v>
      </c>
      <c r="B37" s="18">
        <v>80828</v>
      </c>
      <c r="C37" s="18">
        <v>73</v>
      </c>
      <c r="D37" s="19" t="s">
        <v>88</v>
      </c>
      <c r="E37" s="19" t="s">
        <v>54</v>
      </c>
      <c r="F37" s="18">
        <v>5</v>
      </c>
      <c r="G37" s="19" t="s">
        <v>16</v>
      </c>
      <c r="H37" s="19" t="s">
        <v>567</v>
      </c>
      <c r="I37" s="19"/>
      <c r="J37" s="19" t="s">
        <v>567</v>
      </c>
      <c r="K37" s="20">
        <v>102.05</v>
      </c>
      <c r="N37">
        <f t="shared" si="2"/>
        <v>80828</v>
      </c>
      <c r="O37">
        <f>IF(AND(A37&gt;0,A37&lt;999),IFERROR(VLOOKUP(results0121[[#This Row],[Card]],U14M[],1,FALSE),0),0)</f>
        <v>80828</v>
      </c>
      <c r="P37">
        <f t="shared" si="3"/>
        <v>36</v>
      </c>
    </row>
    <row r="38" spans="1:16" x14ac:dyDescent="0.25">
      <c r="A38" s="14">
        <v>37</v>
      </c>
      <c r="B38" s="14">
        <v>86143</v>
      </c>
      <c r="C38" s="14">
        <v>10</v>
      </c>
      <c r="D38" s="15" t="s">
        <v>125</v>
      </c>
      <c r="E38" s="15" t="s">
        <v>42</v>
      </c>
      <c r="F38" s="14">
        <v>4</v>
      </c>
      <c r="G38" s="15" t="s">
        <v>16</v>
      </c>
      <c r="H38" s="15" t="s">
        <v>568</v>
      </c>
      <c r="I38" s="15"/>
      <c r="J38" s="15" t="s">
        <v>568</v>
      </c>
      <c r="K38" s="16">
        <v>102.64</v>
      </c>
      <c r="N38">
        <f t="shared" si="2"/>
        <v>86143</v>
      </c>
      <c r="O38">
        <f>IF(AND(A38&gt;0,A38&lt;999),IFERROR(VLOOKUP(results0121[[#This Row],[Card]],U14M[],1,FALSE),0),0)</f>
        <v>86143</v>
      </c>
      <c r="P38">
        <f t="shared" si="3"/>
        <v>37</v>
      </c>
    </row>
    <row r="39" spans="1:16" x14ac:dyDescent="0.25">
      <c r="A39" s="18">
        <v>38</v>
      </c>
      <c r="B39" s="18">
        <v>78669</v>
      </c>
      <c r="C39" s="18">
        <v>38</v>
      </c>
      <c r="D39" s="19" t="s">
        <v>116</v>
      </c>
      <c r="E39" s="19" t="s">
        <v>117</v>
      </c>
      <c r="F39" s="18">
        <v>4</v>
      </c>
      <c r="G39" s="19" t="s">
        <v>16</v>
      </c>
      <c r="H39" s="19" t="s">
        <v>569</v>
      </c>
      <c r="I39" s="19"/>
      <c r="J39" s="19" t="s">
        <v>569</v>
      </c>
      <c r="K39" s="20">
        <v>102.83</v>
      </c>
      <c r="N39">
        <f t="shared" si="2"/>
        <v>78669</v>
      </c>
      <c r="O39">
        <f>IF(AND(A39&gt;0,A39&lt;999),IFERROR(VLOOKUP(results0121[[#This Row],[Card]],U14M[],1,FALSE),0),0)</f>
        <v>78669</v>
      </c>
      <c r="P39">
        <f t="shared" si="3"/>
        <v>38</v>
      </c>
    </row>
    <row r="40" spans="1:16" x14ac:dyDescent="0.25">
      <c r="A40" s="14">
        <v>39</v>
      </c>
      <c r="B40" s="14">
        <v>80618</v>
      </c>
      <c r="C40" s="14">
        <v>81</v>
      </c>
      <c r="D40" s="15" t="s">
        <v>123</v>
      </c>
      <c r="E40" s="15" t="s">
        <v>19</v>
      </c>
      <c r="F40" s="14">
        <v>4</v>
      </c>
      <c r="G40" s="15" t="s">
        <v>16</v>
      </c>
      <c r="H40" s="15" t="s">
        <v>570</v>
      </c>
      <c r="I40" s="15"/>
      <c r="J40" s="15" t="s">
        <v>570</v>
      </c>
      <c r="K40" s="16">
        <v>103.61</v>
      </c>
      <c r="N40">
        <f t="shared" si="2"/>
        <v>80618</v>
      </c>
      <c r="O40">
        <f>IF(AND(A40&gt;0,A40&lt;999),IFERROR(VLOOKUP(results0121[[#This Row],[Card]],U14M[],1,FALSE),0),0)</f>
        <v>80618</v>
      </c>
      <c r="P40">
        <f t="shared" si="3"/>
        <v>39</v>
      </c>
    </row>
    <row r="41" spans="1:16" x14ac:dyDescent="0.25">
      <c r="A41" s="18">
        <v>40</v>
      </c>
      <c r="B41" s="18">
        <v>77214</v>
      </c>
      <c r="C41" s="18">
        <v>28</v>
      </c>
      <c r="D41" s="19" t="s">
        <v>154</v>
      </c>
      <c r="E41" s="19" t="s">
        <v>155</v>
      </c>
      <c r="F41" s="18">
        <v>5</v>
      </c>
      <c r="G41" s="19" t="s">
        <v>16</v>
      </c>
      <c r="H41" s="19" t="s">
        <v>571</v>
      </c>
      <c r="I41" s="19"/>
      <c r="J41" s="19" t="s">
        <v>571</v>
      </c>
      <c r="K41" s="20">
        <v>104</v>
      </c>
      <c r="N41">
        <f t="shared" si="2"/>
        <v>77214</v>
      </c>
      <c r="O41">
        <f>IF(AND(A41&gt;0,A41&lt;999),IFERROR(VLOOKUP(results0121[[#This Row],[Card]],U14M[],1,FALSE),0),0)</f>
        <v>77214</v>
      </c>
      <c r="P41">
        <f t="shared" si="3"/>
        <v>40</v>
      </c>
    </row>
    <row r="42" spans="1:16" x14ac:dyDescent="0.25">
      <c r="A42" s="14">
        <v>41</v>
      </c>
      <c r="B42" s="14">
        <v>78164</v>
      </c>
      <c r="C42" s="14">
        <v>45</v>
      </c>
      <c r="D42" s="15" t="s">
        <v>129</v>
      </c>
      <c r="E42" s="15" t="s">
        <v>61</v>
      </c>
      <c r="F42" s="14">
        <v>5</v>
      </c>
      <c r="G42" s="15" t="s">
        <v>16</v>
      </c>
      <c r="H42" s="15" t="s">
        <v>164</v>
      </c>
      <c r="I42" s="15"/>
      <c r="J42" s="15" t="s">
        <v>164</v>
      </c>
      <c r="K42" s="16">
        <v>105.75</v>
      </c>
      <c r="N42">
        <f t="shared" si="2"/>
        <v>78164</v>
      </c>
      <c r="O42">
        <f>IF(AND(A42&gt;0,A42&lt;999),IFERROR(VLOOKUP(results0121[[#This Row],[Card]],U14M[],1,FALSE),0),0)</f>
        <v>78164</v>
      </c>
      <c r="P42">
        <f t="shared" si="3"/>
        <v>41</v>
      </c>
    </row>
    <row r="43" spans="1:16" x14ac:dyDescent="0.25">
      <c r="A43" s="18">
        <v>42</v>
      </c>
      <c r="B43" s="18">
        <v>80629</v>
      </c>
      <c r="C43" s="18">
        <v>47</v>
      </c>
      <c r="D43" s="19" t="s">
        <v>144</v>
      </c>
      <c r="E43" s="19" t="s">
        <v>19</v>
      </c>
      <c r="F43" s="18">
        <v>5</v>
      </c>
      <c r="G43" s="19" t="s">
        <v>16</v>
      </c>
      <c r="H43" s="19" t="s">
        <v>371</v>
      </c>
      <c r="I43" s="19"/>
      <c r="J43" s="19" t="s">
        <v>371</v>
      </c>
      <c r="K43" s="20">
        <v>105.95</v>
      </c>
      <c r="N43">
        <f t="shared" si="2"/>
        <v>80629</v>
      </c>
      <c r="O43">
        <f>IF(AND(A43&gt;0,A43&lt;999),IFERROR(VLOOKUP(results0121[[#This Row],[Card]],U14M[],1,FALSE),0),0)</f>
        <v>80629</v>
      </c>
      <c r="P43">
        <f t="shared" si="3"/>
        <v>42</v>
      </c>
    </row>
    <row r="44" spans="1:16" x14ac:dyDescent="0.25">
      <c r="A44" s="14">
        <v>43</v>
      </c>
      <c r="B44" s="14">
        <v>76864</v>
      </c>
      <c r="C44" s="14">
        <v>67</v>
      </c>
      <c r="D44" s="15" t="s">
        <v>107</v>
      </c>
      <c r="E44" s="15" t="s">
        <v>38</v>
      </c>
      <c r="F44" s="14">
        <v>4</v>
      </c>
      <c r="G44" s="15" t="s">
        <v>16</v>
      </c>
      <c r="H44" s="15" t="s">
        <v>572</v>
      </c>
      <c r="I44" s="15"/>
      <c r="J44" s="15" t="s">
        <v>572</v>
      </c>
      <c r="K44" s="16">
        <v>109.65</v>
      </c>
      <c r="N44">
        <f t="shared" si="2"/>
        <v>76864</v>
      </c>
      <c r="O44">
        <f>IF(AND(A44&gt;0,A44&lt;999),IFERROR(VLOOKUP(results0121[[#This Row],[Card]],U14M[],1,FALSE),0),0)</f>
        <v>76864</v>
      </c>
      <c r="P44">
        <f t="shared" si="3"/>
        <v>43</v>
      </c>
    </row>
    <row r="45" spans="1:16" x14ac:dyDescent="0.25">
      <c r="A45" s="18">
        <v>44</v>
      </c>
      <c r="B45" s="18">
        <v>78398</v>
      </c>
      <c r="C45" s="18">
        <v>57</v>
      </c>
      <c r="D45" s="19" t="s">
        <v>156</v>
      </c>
      <c r="E45" s="19" t="s">
        <v>19</v>
      </c>
      <c r="F45" s="18">
        <v>4</v>
      </c>
      <c r="G45" s="19" t="s">
        <v>16</v>
      </c>
      <c r="H45" s="19" t="s">
        <v>573</v>
      </c>
      <c r="I45" s="19"/>
      <c r="J45" s="19" t="s">
        <v>573</v>
      </c>
      <c r="K45" s="20">
        <v>111.01</v>
      </c>
      <c r="N45">
        <f t="shared" si="2"/>
        <v>78398</v>
      </c>
      <c r="O45">
        <f>IF(AND(A45&gt;0,A45&lt;999),IFERROR(VLOOKUP(results0121[[#This Row],[Card]],U14M[],1,FALSE),0),0)</f>
        <v>78398</v>
      </c>
      <c r="P45">
        <f t="shared" si="3"/>
        <v>44</v>
      </c>
    </row>
    <row r="46" spans="1:16" x14ac:dyDescent="0.25">
      <c r="A46" s="14">
        <v>45</v>
      </c>
      <c r="B46" s="14">
        <v>89505</v>
      </c>
      <c r="C46" s="14">
        <v>25</v>
      </c>
      <c r="D46" s="15" t="s">
        <v>387</v>
      </c>
      <c r="E46" s="15" t="s">
        <v>388</v>
      </c>
      <c r="F46" s="14">
        <v>5</v>
      </c>
      <c r="G46" s="15" t="s">
        <v>16</v>
      </c>
      <c r="H46" s="15" t="s">
        <v>574</v>
      </c>
      <c r="I46" s="15"/>
      <c r="J46" s="15" t="s">
        <v>574</v>
      </c>
      <c r="K46" s="16">
        <v>112.37</v>
      </c>
      <c r="N46">
        <f t="shared" si="2"/>
        <v>89505</v>
      </c>
      <c r="O46">
        <f>IF(AND(A46&gt;0,A46&lt;999),IFERROR(VLOOKUP(results0121[[#This Row],[Card]],U14M[],1,FALSE),0),0)</f>
        <v>89505</v>
      </c>
      <c r="P46">
        <f t="shared" si="3"/>
        <v>45</v>
      </c>
    </row>
    <row r="47" spans="1:16" x14ac:dyDescent="0.25">
      <c r="A47" s="18">
        <v>46</v>
      </c>
      <c r="B47" s="18">
        <v>78619</v>
      </c>
      <c r="C47" s="18">
        <v>19</v>
      </c>
      <c r="D47" s="19" t="s">
        <v>121</v>
      </c>
      <c r="E47" s="19" t="s">
        <v>61</v>
      </c>
      <c r="F47" s="18">
        <v>4</v>
      </c>
      <c r="G47" s="19" t="s">
        <v>16</v>
      </c>
      <c r="H47" s="19" t="s">
        <v>373</v>
      </c>
      <c r="I47" s="19"/>
      <c r="J47" s="19" t="s">
        <v>373</v>
      </c>
      <c r="K47" s="20">
        <v>113.74</v>
      </c>
      <c r="N47">
        <f t="shared" si="2"/>
        <v>78619</v>
      </c>
      <c r="O47">
        <f>IF(AND(A47&gt;0,A47&lt;999),IFERROR(VLOOKUP(results0121[[#This Row],[Card]],U14M[],1,FALSE),0),0)</f>
        <v>78619</v>
      </c>
      <c r="P47">
        <f t="shared" si="3"/>
        <v>46</v>
      </c>
    </row>
    <row r="48" spans="1:16" x14ac:dyDescent="0.25">
      <c r="A48" s="14">
        <v>47</v>
      </c>
      <c r="B48" s="14">
        <v>78165</v>
      </c>
      <c r="C48" s="14">
        <v>30</v>
      </c>
      <c r="D48" s="15" t="s">
        <v>119</v>
      </c>
      <c r="E48" s="15" t="s">
        <v>61</v>
      </c>
      <c r="F48" s="14">
        <v>4</v>
      </c>
      <c r="G48" s="15" t="s">
        <v>16</v>
      </c>
      <c r="H48" s="15" t="s">
        <v>575</v>
      </c>
      <c r="I48" s="15"/>
      <c r="J48" s="15" t="s">
        <v>575</v>
      </c>
      <c r="K48" s="16">
        <v>115.68</v>
      </c>
      <c r="N48">
        <f t="shared" si="2"/>
        <v>78165</v>
      </c>
      <c r="O48">
        <f>IF(AND(A48&gt;0,A48&lt;999),IFERROR(VLOOKUP(results0121[[#This Row],[Card]],U14M[],1,FALSE),0),0)</f>
        <v>78165</v>
      </c>
      <c r="P48">
        <f t="shared" si="3"/>
        <v>47</v>
      </c>
    </row>
    <row r="49" spans="1:16" x14ac:dyDescent="0.25">
      <c r="A49" s="18">
        <v>48</v>
      </c>
      <c r="B49" s="18">
        <v>81500</v>
      </c>
      <c r="C49" s="18">
        <v>84</v>
      </c>
      <c r="D49" s="19" t="s">
        <v>131</v>
      </c>
      <c r="E49" s="19" t="s">
        <v>22</v>
      </c>
      <c r="F49" s="18">
        <v>5</v>
      </c>
      <c r="G49" s="19" t="s">
        <v>16</v>
      </c>
      <c r="H49" s="19" t="s">
        <v>576</v>
      </c>
      <c r="I49" s="19"/>
      <c r="J49" s="19" t="s">
        <v>576</v>
      </c>
      <c r="K49" s="20">
        <v>117.83</v>
      </c>
      <c r="N49">
        <f t="shared" si="2"/>
        <v>81500</v>
      </c>
      <c r="O49">
        <f>IF(AND(A49&gt;0,A49&lt;999),IFERROR(VLOOKUP(results0121[[#This Row],[Card]],U14M[],1,FALSE),0),0)</f>
        <v>81500</v>
      </c>
      <c r="P49">
        <f t="shared" si="3"/>
        <v>48</v>
      </c>
    </row>
    <row r="50" spans="1:16" x14ac:dyDescent="0.25">
      <c r="A50" s="14">
        <v>49</v>
      </c>
      <c r="B50" s="14">
        <v>80714</v>
      </c>
      <c r="C50" s="14">
        <v>72</v>
      </c>
      <c r="D50" s="15" t="s">
        <v>152</v>
      </c>
      <c r="E50" s="15" t="s">
        <v>22</v>
      </c>
      <c r="F50" s="14">
        <v>5</v>
      </c>
      <c r="G50" s="15" t="s">
        <v>16</v>
      </c>
      <c r="H50" s="15" t="s">
        <v>577</v>
      </c>
      <c r="I50" s="15"/>
      <c r="J50" s="15" t="s">
        <v>577</v>
      </c>
      <c r="K50" s="16">
        <v>122.5</v>
      </c>
      <c r="N50">
        <f t="shared" si="2"/>
        <v>80714</v>
      </c>
      <c r="O50">
        <f>IF(AND(A50&gt;0,A50&lt;999),IFERROR(VLOOKUP(results0121[[#This Row],[Card]],U14M[],1,FALSE),0),0)</f>
        <v>80714</v>
      </c>
      <c r="P50">
        <f t="shared" si="3"/>
        <v>49</v>
      </c>
    </row>
    <row r="51" spans="1:16" x14ac:dyDescent="0.25">
      <c r="A51" s="18">
        <v>50</v>
      </c>
      <c r="B51" s="18">
        <v>78680</v>
      </c>
      <c r="C51" s="18">
        <v>62</v>
      </c>
      <c r="D51" s="19" t="s">
        <v>127</v>
      </c>
      <c r="E51" s="19" t="s">
        <v>22</v>
      </c>
      <c r="F51" s="18">
        <v>5</v>
      </c>
      <c r="G51" s="19" t="s">
        <v>16</v>
      </c>
      <c r="H51" s="19" t="s">
        <v>578</v>
      </c>
      <c r="I51" s="19"/>
      <c r="J51" s="19" t="s">
        <v>578</v>
      </c>
      <c r="K51" s="20">
        <v>124.45</v>
      </c>
      <c r="N51">
        <f t="shared" si="2"/>
        <v>78680</v>
      </c>
      <c r="O51">
        <f>IF(AND(A51&gt;0,A51&lt;999),IFERROR(VLOOKUP(results0121[[#This Row],[Card]],U14M[],1,FALSE),0),0)</f>
        <v>78680</v>
      </c>
      <c r="P51">
        <f t="shared" si="3"/>
        <v>50</v>
      </c>
    </row>
    <row r="52" spans="1:16" x14ac:dyDescent="0.25">
      <c r="A52" s="14">
        <v>51</v>
      </c>
      <c r="B52" s="14">
        <v>81491</v>
      </c>
      <c r="C52" s="14">
        <v>15</v>
      </c>
      <c r="D52" s="15" t="s">
        <v>105</v>
      </c>
      <c r="E52" s="15" t="s">
        <v>22</v>
      </c>
      <c r="F52" s="14">
        <v>5</v>
      </c>
      <c r="G52" s="15" t="s">
        <v>16</v>
      </c>
      <c r="H52" s="15" t="s">
        <v>180</v>
      </c>
      <c r="I52" s="15"/>
      <c r="J52" s="15" t="s">
        <v>180</v>
      </c>
      <c r="K52" s="16">
        <v>125.62</v>
      </c>
      <c r="N52">
        <f t="shared" si="2"/>
        <v>81491</v>
      </c>
      <c r="O52">
        <f>IF(AND(A52&gt;0,A52&lt;999),IFERROR(VLOOKUP(results0121[[#This Row],[Card]],U14M[],1,FALSE),0),0)</f>
        <v>81491</v>
      </c>
      <c r="P52">
        <f t="shared" si="3"/>
        <v>51</v>
      </c>
    </row>
    <row r="53" spans="1:16" x14ac:dyDescent="0.25">
      <c r="A53" s="18">
        <v>52</v>
      </c>
      <c r="B53" s="18">
        <v>84722</v>
      </c>
      <c r="C53" s="18">
        <v>6</v>
      </c>
      <c r="D53" s="19" t="s">
        <v>169</v>
      </c>
      <c r="E53" s="19" t="s">
        <v>61</v>
      </c>
      <c r="F53" s="18">
        <v>4</v>
      </c>
      <c r="G53" s="19" t="s">
        <v>16</v>
      </c>
      <c r="H53" s="19" t="s">
        <v>579</v>
      </c>
      <c r="I53" s="19"/>
      <c r="J53" s="19" t="s">
        <v>579</v>
      </c>
      <c r="K53" s="20">
        <v>127.76</v>
      </c>
      <c r="N53">
        <f t="shared" si="2"/>
        <v>84722</v>
      </c>
      <c r="O53">
        <f>IF(AND(A53&gt;0,A53&lt;999),IFERROR(VLOOKUP(results0121[[#This Row],[Card]],U14M[],1,FALSE),0),0)</f>
        <v>84722</v>
      </c>
      <c r="P53">
        <f t="shared" si="3"/>
        <v>52</v>
      </c>
    </row>
    <row r="54" spans="1:16" x14ac:dyDescent="0.25">
      <c r="A54" s="14">
        <v>53</v>
      </c>
      <c r="B54" s="14">
        <v>80627</v>
      </c>
      <c r="C54" s="14">
        <v>17</v>
      </c>
      <c r="D54" s="15" t="s">
        <v>222</v>
      </c>
      <c r="E54" s="15" t="s">
        <v>19</v>
      </c>
      <c r="F54" s="14">
        <v>5</v>
      </c>
      <c r="G54" s="15" t="s">
        <v>16</v>
      </c>
      <c r="H54" s="15" t="s">
        <v>580</v>
      </c>
      <c r="I54" s="15"/>
      <c r="J54" s="15" t="s">
        <v>580</v>
      </c>
      <c r="K54" s="16">
        <v>128.72999999999999</v>
      </c>
      <c r="N54">
        <f t="shared" si="2"/>
        <v>80627</v>
      </c>
      <c r="O54">
        <f>IF(AND(A54&gt;0,A54&lt;999),IFERROR(VLOOKUP(results0121[[#This Row],[Card]],U14M[],1,FALSE),0),0)</f>
        <v>80627</v>
      </c>
      <c r="P54">
        <f t="shared" si="3"/>
        <v>53</v>
      </c>
    </row>
    <row r="55" spans="1:16" x14ac:dyDescent="0.25">
      <c r="A55" s="18">
        <v>54</v>
      </c>
      <c r="B55" s="18">
        <v>81879</v>
      </c>
      <c r="C55" s="18">
        <v>33</v>
      </c>
      <c r="D55" s="19" t="s">
        <v>146</v>
      </c>
      <c r="E55" s="19" t="s">
        <v>22</v>
      </c>
      <c r="F55" s="18">
        <v>5</v>
      </c>
      <c r="G55" s="19" t="s">
        <v>16</v>
      </c>
      <c r="H55" s="19" t="s">
        <v>581</v>
      </c>
      <c r="I55" s="19"/>
      <c r="J55" s="19" t="s">
        <v>581</v>
      </c>
      <c r="K55" s="20">
        <v>128.93</v>
      </c>
      <c r="N55">
        <f t="shared" si="2"/>
        <v>81879</v>
      </c>
      <c r="O55">
        <f>IF(AND(A55&gt;0,A55&lt;999),IFERROR(VLOOKUP(results0121[[#This Row],[Card]],U14M[],1,FALSE),0),0)</f>
        <v>81879</v>
      </c>
      <c r="P55">
        <f t="shared" si="3"/>
        <v>54</v>
      </c>
    </row>
    <row r="56" spans="1:16" x14ac:dyDescent="0.25">
      <c r="A56" s="14">
        <v>55</v>
      </c>
      <c r="B56" s="14">
        <v>85566</v>
      </c>
      <c r="C56" s="14">
        <v>86</v>
      </c>
      <c r="D56" s="15" t="s">
        <v>150</v>
      </c>
      <c r="E56" s="15" t="s">
        <v>117</v>
      </c>
      <c r="F56" s="14">
        <v>5</v>
      </c>
      <c r="G56" s="15" t="s">
        <v>16</v>
      </c>
      <c r="H56" s="15" t="s">
        <v>582</v>
      </c>
      <c r="I56" s="15"/>
      <c r="J56" s="15" t="s">
        <v>582</v>
      </c>
      <c r="K56" s="16">
        <v>129.12</v>
      </c>
      <c r="N56">
        <f t="shared" si="2"/>
        <v>85566</v>
      </c>
      <c r="O56">
        <f>IF(AND(A56&gt;0,A56&lt;999),IFERROR(VLOOKUP(results0121[[#This Row],[Card]],U14M[],1,FALSE),0),0)</f>
        <v>85566</v>
      </c>
      <c r="P56">
        <f t="shared" si="3"/>
        <v>55</v>
      </c>
    </row>
    <row r="57" spans="1:16" x14ac:dyDescent="0.25">
      <c r="A57" s="18">
        <v>56</v>
      </c>
      <c r="B57" s="18">
        <v>82442</v>
      </c>
      <c r="C57" s="18">
        <v>27</v>
      </c>
      <c r="D57" s="19" t="s">
        <v>204</v>
      </c>
      <c r="E57" s="19" t="s">
        <v>42</v>
      </c>
      <c r="F57" s="18">
        <v>5</v>
      </c>
      <c r="G57" s="19" t="s">
        <v>16</v>
      </c>
      <c r="H57" s="19" t="s">
        <v>583</v>
      </c>
      <c r="I57" s="19"/>
      <c r="J57" s="19" t="s">
        <v>583</v>
      </c>
      <c r="K57" s="20">
        <v>131.85</v>
      </c>
      <c r="N57">
        <f t="shared" si="2"/>
        <v>82442</v>
      </c>
      <c r="O57">
        <f>IF(AND(A57&gt;0,A57&lt;999),IFERROR(VLOOKUP(results0121[[#This Row],[Card]],U14M[],1,FALSE),0),0)</f>
        <v>82442</v>
      </c>
      <c r="P57">
        <f t="shared" si="3"/>
        <v>56</v>
      </c>
    </row>
    <row r="58" spans="1:16" x14ac:dyDescent="0.25">
      <c r="A58" s="14">
        <v>57</v>
      </c>
      <c r="B58" s="14">
        <v>81139</v>
      </c>
      <c r="C58" s="14">
        <v>23</v>
      </c>
      <c r="D58" s="15" t="s">
        <v>177</v>
      </c>
      <c r="E58" s="15" t="s">
        <v>22</v>
      </c>
      <c r="F58" s="14">
        <v>4</v>
      </c>
      <c r="G58" s="15" t="s">
        <v>16</v>
      </c>
      <c r="H58" s="15" t="s">
        <v>584</v>
      </c>
      <c r="I58" s="15"/>
      <c r="J58" s="15" t="s">
        <v>584</v>
      </c>
      <c r="K58" s="16">
        <v>132.04</v>
      </c>
      <c r="N58">
        <f t="shared" si="2"/>
        <v>81139</v>
      </c>
      <c r="O58">
        <f>IF(AND(A58&gt;0,A58&lt;999),IFERROR(VLOOKUP(results0121[[#This Row],[Card]],U14M[],1,FALSE),0),0)</f>
        <v>81139</v>
      </c>
      <c r="P58">
        <f t="shared" si="3"/>
        <v>57</v>
      </c>
    </row>
    <row r="59" spans="1:16" x14ac:dyDescent="0.25">
      <c r="A59" s="18">
        <v>58</v>
      </c>
      <c r="B59" s="18">
        <v>80724</v>
      </c>
      <c r="C59" s="18">
        <v>51</v>
      </c>
      <c r="D59" s="19" t="s">
        <v>167</v>
      </c>
      <c r="E59" s="19" t="s">
        <v>22</v>
      </c>
      <c r="F59" s="18">
        <v>4</v>
      </c>
      <c r="G59" s="19" t="s">
        <v>16</v>
      </c>
      <c r="H59" s="19" t="s">
        <v>585</v>
      </c>
      <c r="I59" s="19"/>
      <c r="J59" s="19" t="s">
        <v>585</v>
      </c>
      <c r="K59" s="20">
        <v>135.55000000000001</v>
      </c>
      <c r="N59">
        <f t="shared" si="2"/>
        <v>80724</v>
      </c>
      <c r="O59">
        <f>IF(AND(A59&gt;0,A59&lt;999),IFERROR(VLOOKUP(results0121[[#This Row],[Card]],U14M[],1,FALSE),0),0)</f>
        <v>80724</v>
      </c>
      <c r="P59">
        <f t="shared" si="3"/>
        <v>58</v>
      </c>
    </row>
    <row r="60" spans="1:16" x14ac:dyDescent="0.25">
      <c r="A60" s="14">
        <v>59</v>
      </c>
      <c r="B60" s="14">
        <v>80662</v>
      </c>
      <c r="C60" s="14">
        <v>88</v>
      </c>
      <c r="D60" s="15" t="s">
        <v>158</v>
      </c>
      <c r="E60" s="15" t="s">
        <v>61</v>
      </c>
      <c r="F60" s="14">
        <v>4</v>
      </c>
      <c r="G60" s="15" t="s">
        <v>16</v>
      </c>
      <c r="H60" s="15" t="s">
        <v>586</v>
      </c>
      <c r="I60" s="15"/>
      <c r="J60" s="15" t="s">
        <v>586</v>
      </c>
      <c r="K60" s="16">
        <v>136.13</v>
      </c>
      <c r="N60">
        <f t="shared" si="2"/>
        <v>80662</v>
      </c>
      <c r="O60">
        <f>IF(AND(A60&gt;0,A60&lt;999),IFERROR(VLOOKUP(results0121[[#This Row],[Card]],U14M[],1,FALSE),0),0)</f>
        <v>80662</v>
      </c>
      <c r="P60">
        <f t="shared" si="3"/>
        <v>59</v>
      </c>
    </row>
    <row r="61" spans="1:16" x14ac:dyDescent="0.25">
      <c r="A61" s="18">
        <v>60</v>
      </c>
      <c r="B61" s="18">
        <v>78181</v>
      </c>
      <c r="C61" s="18">
        <v>12</v>
      </c>
      <c r="D61" s="19" t="s">
        <v>138</v>
      </c>
      <c r="E61" s="19" t="s">
        <v>61</v>
      </c>
      <c r="F61" s="18">
        <v>4</v>
      </c>
      <c r="G61" s="19" t="s">
        <v>16</v>
      </c>
      <c r="H61" s="19" t="s">
        <v>187</v>
      </c>
      <c r="I61" s="19"/>
      <c r="J61" s="19" t="s">
        <v>187</v>
      </c>
      <c r="K61" s="20">
        <v>137.88999999999999</v>
      </c>
      <c r="N61">
        <f t="shared" si="2"/>
        <v>78181</v>
      </c>
      <c r="O61">
        <f>IF(AND(A61&gt;0,A61&lt;999),IFERROR(VLOOKUP(results0121[[#This Row],[Card]],U14M[],1,FALSE),0),0)</f>
        <v>78181</v>
      </c>
      <c r="P61">
        <f t="shared" si="3"/>
        <v>60</v>
      </c>
    </row>
    <row r="62" spans="1:16" x14ac:dyDescent="0.25">
      <c r="A62" s="14">
        <v>61</v>
      </c>
      <c r="B62" s="14">
        <v>78178</v>
      </c>
      <c r="C62" s="14">
        <v>31</v>
      </c>
      <c r="D62" s="15" t="s">
        <v>194</v>
      </c>
      <c r="E62" s="15" t="s">
        <v>61</v>
      </c>
      <c r="F62" s="14">
        <v>4</v>
      </c>
      <c r="G62" s="15" t="s">
        <v>16</v>
      </c>
      <c r="H62" s="15" t="s">
        <v>587</v>
      </c>
      <c r="I62" s="15"/>
      <c r="J62" s="15" t="s">
        <v>587</v>
      </c>
      <c r="K62" s="16">
        <v>138.86000000000001</v>
      </c>
      <c r="N62">
        <f t="shared" si="2"/>
        <v>78178</v>
      </c>
      <c r="O62">
        <f>IF(AND(A62&gt;0,A62&lt;999),IFERROR(VLOOKUP(results0121[[#This Row],[Card]],U14M[],1,FALSE),0),0)</f>
        <v>78178</v>
      </c>
      <c r="P62">
        <f t="shared" si="3"/>
        <v>61</v>
      </c>
    </row>
    <row r="63" spans="1:16" x14ac:dyDescent="0.25">
      <c r="A63" s="18">
        <v>62</v>
      </c>
      <c r="B63" s="18">
        <v>80615</v>
      </c>
      <c r="C63" s="18">
        <v>37</v>
      </c>
      <c r="D63" s="19" t="s">
        <v>292</v>
      </c>
      <c r="E63" s="19" t="s">
        <v>19</v>
      </c>
      <c r="F63" s="18">
        <v>4</v>
      </c>
      <c r="G63" s="19" t="s">
        <v>16</v>
      </c>
      <c r="H63" s="19" t="s">
        <v>588</v>
      </c>
      <c r="I63" s="19"/>
      <c r="J63" s="19" t="s">
        <v>588</v>
      </c>
      <c r="K63" s="20">
        <v>143.72999999999999</v>
      </c>
      <c r="N63">
        <f t="shared" si="2"/>
        <v>80615</v>
      </c>
      <c r="O63">
        <f>IF(AND(A63&gt;0,A63&lt;999),IFERROR(VLOOKUP(results0121[[#This Row],[Card]],U14M[],1,FALSE),0),0)</f>
        <v>80615</v>
      </c>
      <c r="P63">
        <f t="shared" si="3"/>
        <v>62</v>
      </c>
    </row>
    <row r="64" spans="1:16" x14ac:dyDescent="0.25">
      <c r="A64" s="14">
        <v>63</v>
      </c>
      <c r="B64" s="14">
        <v>82403</v>
      </c>
      <c r="C64" s="14">
        <v>87</v>
      </c>
      <c r="D64" s="15" t="s">
        <v>175</v>
      </c>
      <c r="E64" s="15" t="s">
        <v>19</v>
      </c>
      <c r="F64" s="14">
        <v>5</v>
      </c>
      <c r="G64" s="15" t="s">
        <v>16</v>
      </c>
      <c r="H64" s="15" t="s">
        <v>589</v>
      </c>
      <c r="I64" s="15"/>
      <c r="J64" s="15" t="s">
        <v>589</v>
      </c>
      <c r="K64" s="16">
        <v>143.91999999999999</v>
      </c>
      <c r="N64">
        <f t="shared" si="2"/>
        <v>82403</v>
      </c>
      <c r="O64">
        <f>IF(AND(A64&gt;0,A64&lt;999),IFERROR(VLOOKUP(results0121[[#This Row],[Card]],U14M[],1,FALSE),0),0)</f>
        <v>82403</v>
      </c>
      <c r="P64">
        <f t="shared" si="3"/>
        <v>63</v>
      </c>
    </row>
    <row r="65" spans="1:16" x14ac:dyDescent="0.25">
      <c r="A65" s="18">
        <v>64</v>
      </c>
      <c r="B65" s="18">
        <v>86207</v>
      </c>
      <c r="C65" s="18">
        <v>2</v>
      </c>
      <c r="D65" s="19" t="s">
        <v>294</v>
      </c>
      <c r="E65" s="19" t="s">
        <v>54</v>
      </c>
      <c r="F65" s="18">
        <v>5</v>
      </c>
      <c r="G65" s="19" t="s">
        <v>16</v>
      </c>
      <c r="H65" s="19" t="s">
        <v>590</v>
      </c>
      <c r="I65" s="19"/>
      <c r="J65" s="19" t="s">
        <v>590</v>
      </c>
      <c r="K65" s="20">
        <v>148.21</v>
      </c>
      <c r="N65">
        <f t="shared" si="2"/>
        <v>86207</v>
      </c>
      <c r="O65">
        <f>IF(AND(A65&gt;0,A65&lt;999),IFERROR(VLOOKUP(results0121[[#This Row],[Card]],U14M[],1,FALSE),0),0)</f>
        <v>86207</v>
      </c>
      <c r="P65">
        <f t="shared" si="3"/>
        <v>64</v>
      </c>
    </row>
    <row r="66" spans="1:16" x14ac:dyDescent="0.25">
      <c r="A66" s="14">
        <v>65</v>
      </c>
      <c r="B66" s="14">
        <v>80630</v>
      </c>
      <c r="C66" s="14">
        <v>21</v>
      </c>
      <c r="D66" s="15" t="s">
        <v>188</v>
      </c>
      <c r="E66" s="15" t="s">
        <v>19</v>
      </c>
      <c r="F66" s="14">
        <v>4</v>
      </c>
      <c r="G66" s="15" t="s">
        <v>16</v>
      </c>
      <c r="H66" s="15" t="s">
        <v>591</v>
      </c>
      <c r="I66" s="15"/>
      <c r="J66" s="15" t="s">
        <v>591</v>
      </c>
      <c r="K66" s="16">
        <v>150.35</v>
      </c>
      <c r="N66">
        <f t="shared" ref="N66:N90" si="4">B66</f>
        <v>80630</v>
      </c>
      <c r="O66">
        <f>IF(AND(A66&gt;0,A66&lt;999),IFERROR(VLOOKUP(results0121[[#This Row],[Card]],U14M[],1,FALSE),0),0)</f>
        <v>80630</v>
      </c>
      <c r="P66">
        <f t="shared" ref="P66:P90" si="5">A66</f>
        <v>65</v>
      </c>
    </row>
    <row r="67" spans="1:16" x14ac:dyDescent="0.25">
      <c r="A67" s="18">
        <v>66</v>
      </c>
      <c r="B67" s="18">
        <v>84752</v>
      </c>
      <c r="C67" s="18">
        <v>42</v>
      </c>
      <c r="D67" s="19" t="s">
        <v>140</v>
      </c>
      <c r="E67" s="19" t="s">
        <v>15</v>
      </c>
      <c r="F67" s="18">
        <v>5</v>
      </c>
      <c r="G67" s="19" t="s">
        <v>16</v>
      </c>
      <c r="H67" s="19" t="s">
        <v>592</v>
      </c>
      <c r="I67" s="19"/>
      <c r="J67" s="19" t="s">
        <v>592</v>
      </c>
      <c r="K67" s="20">
        <v>152.69</v>
      </c>
      <c r="N67">
        <f t="shared" si="4"/>
        <v>84752</v>
      </c>
      <c r="O67">
        <f>IF(AND(A67&gt;0,A67&lt;999),IFERROR(VLOOKUP(results0121[[#This Row],[Card]],U14M[],1,FALSE),0),0)</f>
        <v>84752</v>
      </c>
      <c r="P67">
        <f t="shared" si="5"/>
        <v>66</v>
      </c>
    </row>
    <row r="68" spans="1:16" x14ac:dyDescent="0.25">
      <c r="A68" s="14">
        <v>67</v>
      </c>
      <c r="B68" s="14">
        <v>84692</v>
      </c>
      <c r="C68" s="14">
        <v>76</v>
      </c>
      <c r="D68" s="15" t="s">
        <v>173</v>
      </c>
      <c r="E68" s="15" t="s">
        <v>22</v>
      </c>
      <c r="F68" s="14">
        <v>4</v>
      </c>
      <c r="G68" s="15" t="s">
        <v>16</v>
      </c>
      <c r="H68" s="15" t="s">
        <v>593</v>
      </c>
      <c r="I68" s="15"/>
      <c r="J68" s="15" t="s">
        <v>593</v>
      </c>
      <c r="K68" s="16">
        <v>154.63</v>
      </c>
      <c r="N68">
        <f t="shared" si="4"/>
        <v>84692</v>
      </c>
      <c r="O68">
        <f>IF(AND(A68&gt;0,A68&lt;999),IFERROR(VLOOKUP(results0121[[#This Row],[Card]],U14M[],1,FALSE),0),0)</f>
        <v>84692</v>
      </c>
      <c r="P68">
        <f t="shared" si="5"/>
        <v>67</v>
      </c>
    </row>
    <row r="69" spans="1:16" x14ac:dyDescent="0.25">
      <c r="A69" s="18">
        <v>67</v>
      </c>
      <c r="B69" s="18">
        <v>81455</v>
      </c>
      <c r="C69" s="18">
        <v>50</v>
      </c>
      <c r="D69" s="19" t="s">
        <v>171</v>
      </c>
      <c r="E69" s="19" t="s">
        <v>19</v>
      </c>
      <c r="F69" s="18">
        <v>5</v>
      </c>
      <c r="G69" s="19" t="s">
        <v>16</v>
      </c>
      <c r="H69" s="19" t="s">
        <v>593</v>
      </c>
      <c r="I69" s="19"/>
      <c r="J69" s="19" t="s">
        <v>593</v>
      </c>
      <c r="K69" s="20">
        <v>154.63</v>
      </c>
      <c r="N69">
        <f t="shared" si="4"/>
        <v>81455</v>
      </c>
      <c r="O69">
        <f>IF(AND(A69&gt;0,A69&lt;999),IFERROR(VLOOKUP(results0121[[#This Row],[Card]],U14M[],1,FALSE),0),0)</f>
        <v>81455</v>
      </c>
      <c r="P69">
        <f t="shared" si="5"/>
        <v>67</v>
      </c>
    </row>
    <row r="70" spans="1:16" x14ac:dyDescent="0.25">
      <c r="A70" s="14">
        <v>69</v>
      </c>
      <c r="B70" s="14">
        <v>76510</v>
      </c>
      <c r="C70" s="14">
        <v>55</v>
      </c>
      <c r="D70" s="15" t="s">
        <v>186</v>
      </c>
      <c r="E70" s="15" t="s">
        <v>38</v>
      </c>
      <c r="F70" s="14">
        <v>4</v>
      </c>
      <c r="G70" s="15" t="s">
        <v>16</v>
      </c>
      <c r="H70" s="15" t="s">
        <v>594</v>
      </c>
      <c r="I70" s="15"/>
      <c r="J70" s="15" t="s">
        <v>594</v>
      </c>
      <c r="K70" s="16">
        <v>158.91999999999999</v>
      </c>
      <c r="N70">
        <f t="shared" si="4"/>
        <v>76510</v>
      </c>
      <c r="O70">
        <f>IF(AND(A70&gt;0,A70&lt;999),IFERROR(VLOOKUP(results0121[[#This Row],[Card]],U14M[],1,FALSE),0),0)</f>
        <v>76510</v>
      </c>
      <c r="P70">
        <f t="shared" si="5"/>
        <v>69</v>
      </c>
    </row>
    <row r="71" spans="1:16" x14ac:dyDescent="0.25">
      <c r="A71" s="18">
        <v>70</v>
      </c>
      <c r="B71" s="18">
        <v>84868</v>
      </c>
      <c r="C71" s="18">
        <v>56</v>
      </c>
      <c r="D71" s="19" t="s">
        <v>312</v>
      </c>
      <c r="E71" s="19" t="s">
        <v>54</v>
      </c>
      <c r="F71" s="18">
        <v>5</v>
      </c>
      <c r="G71" s="19" t="s">
        <v>16</v>
      </c>
      <c r="H71" s="19" t="s">
        <v>595</v>
      </c>
      <c r="I71" s="19"/>
      <c r="J71" s="19" t="s">
        <v>595</v>
      </c>
      <c r="K71" s="20">
        <v>163.4</v>
      </c>
      <c r="N71">
        <f t="shared" si="4"/>
        <v>84868</v>
      </c>
      <c r="O71">
        <f>IF(AND(A71&gt;0,A71&lt;999),IFERROR(VLOOKUP(results0121[[#This Row],[Card]],U14M[],1,FALSE),0),0)</f>
        <v>84868</v>
      </c>
      <c r="P71">
        <f t="shared" si="5"/>
        <v>70</v>
      </c>
    </row>
    <row r="72" spans="1:16" x14ac:dyDescent="0.25">
      <c r="A72" s="14">
        <v>71</v>
      </c>
      <c r="B72" s="14">
        <v>87999</v>
      </c>
      <c r="C72" s="14">
        <v>68</v>
      </c>
      <c r="D72" s="15" t="s">
        <v>179</v>
      </c>
      <c r="E72" s="15" t="s">
        <v>19</v>
      </c>
      <c r="F72" s="14">
        <v>5</v>
      </c>
      <c r="G72" s="15" t="s">
        <v>16</v>
      </c>
      <c r="H72" s="15" t="s">
        <v>596</v>
      </c>
      <c r="I72" s="15"/>
      <c r="J72" s="15" t="s">
        <v>596</v>
      </c>
      <c r="K72" s="16">
        <v>205.08</v>
      </c>
      <c r="N72">
        <f t="shared" si="4"/>
        <v>87999</v>
      </c>
      <c r="O72">
        <f>IF(AND(A72&gt;0,A72&lt;999),IFERROR(VLOOKUP(results0121[[#This Row],[Card]],U14M[],1,FALSE),0),0)</f>
        <v>87999</v>
      </c>
      <c r="P72">
        <f t="shared" si="5"/>
        <v>71</v>
      </c>
    </row>
    <row r="73" spans="1:16" x14ac:dyDescent="0.25">
      <c r="A73" s="18">
        <v>72</v>
      </c>
      <c r="B73" s="18">
        <v>78504</v>
      </c>
      <c r="C73" s="18">
        <v>34</v>
      </c>
      <c r="D73" s="19" t="s">
        <v>210</v>
      </c>
      <c r="E73" s="19" t="s">
        <v>19</v>
      </c>
      <c r="F73" s="18">
        <v>5</v>
      </c>
      <c r="G73" s="19" t="s">
        <v>16</v>
      </c>
      <c r="H73" s="19" t="s">
        <v>597</v>
      </c>
      <c r="I73" s="19"/>
      <c r="J73" s="19" t="s">
        <v>597</v>
      </c>
      <c r="K73" s="20">
        <v>211.31</v>
      </c>
      <c r="N73">
        <f t="shared" si="4"/>
        <v>78504</v>
      </c>
      <c r="O73">
        <f>IF(AND(A73&gt;0,A73&lt;999),IFERROR(VLOOKUP(results0121[[#This Row],[Card]],U14M[],1,FALSE),0),0)</f>
        <v>78504</v>
      </c>
      <c r="P73">
        <f t="shared" si="5"/>
        <v>72</v>
      </c>
    </row>
    <row r="74" spans="1:16" x14ac:dyDescent="0.25">
      <c r="A74" s="14">
        <v>73</v>
      </c>
      <c r="B74" s="14">
        <v>78414</v>
      </c>
      <c r="C74" s="14">
        <v>36</v>
      </c>
      <c r="D74" s="15" t="s">
        <v>202</v>
      </c>
      <c r="E74" s="15" t="s">
        <v>155</v>
      </c>
      <c r="F74" s="14">
        <v>4</v>
      </c>
      <c r="G74" s="15" t="s">
        <v>16</v>
      </c>
      <c r="H74" s="15" t="s">
        <v>598</v>
      </c>
      <c r="I74" s="15"/>
      <c r="J74" s="15" t="s">
        <v>598</v>
      </c>
      <c r="K74" s="16">
        <v>226.11</v>
      </c>
      <c r="N74">
        <f t="shared" si="4"/>
        <v>78414</v>
      </c>
      <c r="O74">
        <f>IF(AND(A74&gt;0,A74&lt;999),IFERROR(VLOOKUP(results0121[[#This Row],[Card]],U14M[],1,FALSE),0),0)</f>
        <v>78414</v>
      </c>
      <c r="P74">
        <f t="shared" si="5"/>
        <v>73</v>
      </c>
    </row>
    <row r="75" spans="1:16" x14ac:dyDescent="0.25">
      <c r="A75" s="18">
        <v>74</v>
      </c>
      <c r="B75" s="18">
        <v>81505</v>
      </c>
      <c r="C75" s="18">
        <v>48</v>
      </c>
      <c r="D75" s="19" t="s">
        <v>315</v>
      </c>
      <c r="E75" s="19" t="s">
        <v>22</v>
      </c>
      <c r="F75" s="18">
        <v>5</v>
      </c>
      <c r="G75" s="19" t="s">
        <v>16</v>
      </c>
      <c r="H75" s="19" t="s">
        <v>599</v>
      </c>
      <c r="I75" s="19"/>
      <c r="J75" s="19" t="s">
        <v>599</v>
      </c>
      <c r="K75" s="20">
        <v>230.2</v>
      </c>
      <c r="N75">
        <f t="shared" si="4"/>
        <v>81505</v>
      </c>
      <c r="O75">
        <f>IF(AND(A75&gt;0,A75&lt;999),IFERROR(VLOOKUP(results0121[[#This Row],[Card]],U14M[],1,FALSE),0),0)</f>
        <v>81505</v>
      </c>
      <c r="P75">
        <f t="shared" si="5"/>
        <v>74</v>
      </c>
    </row>
    <row r="76" spans="1:16" x14ac:dyDescent="0.25">
      <c r="A76" s="14">
        <v>75</v>
      </c>
      <c r="B76" s="14">
        <v>81801</v>
      </c>
      <c r="C76" s="14">
        <v>39</v>
      </c>
      <c r="D76" s="15" t="s">
        <v>208</v>
      </c>
      <c r="E76" s="15" t="s">
        <v>61</v>
      </c>
      <c r="F76" s="14">
        <v>5</v>
      </c>
      <c r="G76" s="15" t="s">
        <v>16</v>
      </c>
      <c r="H76" s="15" t="s">
        <v>600</v>
      </c>
      <c r="I76" s="15"/>
      <c r="J76" s="15" t="s">
        <v>600</v>
      </c>
      <c r="K76" s="16">
        <v>240.52</v>
      </c>
      <c r="N76">
        <f t="shared" si="4"/>
        <v>81801</v>
      </c>
      <c r="O76">
        <f>IF(AND(A76&gt;0,A76&lt;999),IFERROR(VLOOKUP(results0121[[#This Row],[Card]],U14M[],1,FALSE),0),0)</f>
        <v>81801</v>
      </c>
      <c r="P76">
        <f t="shared" si="5"/>
        <v>75</v>
      </c>
    </row>
    <row r="77" spans="1:16" x14ac:dyDescent="0.25">
      <c r="A77" s="18">
        <v>76</v>
      </c>
      <c r="B77" s="18">
        <v>88391</v>
      </c>
      <c r="C77" s="18">
        <v>29</v>
      </c>
      <c r="D77" s="19" t="s">
        <v>284</v>
      </c>
      <c r="E77" s="19" t="s">
        <v>155</v>
      </c>
      <c r="F77" s="18">
        <v>5</v>
      </c>
      <c r="G77" s="19" t="s">
        <v>16</v>
      </c>
      <c r="H77" s="19" t="s">
        <v>601</v>
      </c>
      <c r="I77" s="19"/>
      <c r="J77" s="19" t="s">
        <v>601</v>
      </c>
      <c r="K77" s="20">
        <v>321.14999999999998</v>
      </c>
      <c r="N77">
        <f t="shared" si="4"/>
        <v>88391</v>
      </c>
      <c r="O77">
        <f>IF(AND(A77&gt;0,A77&lt;999),IFERROR(VLOOKUP(results0121[[#This Row],[Card]],U14M[],1,FALSE),0),0)</f>
        <v>88391</v>
      </c>
      <c r="P77">
        <f t="shared" si="5"/>
        <v>76</v>
      </c>
    </row>
    <row r="78" spans="1:16" x14ac:dyDescent="0.25">
      <c r="A78" s="14">
        <v>77</v>
      </c>
      <c r="B78" s="14">
        <v>81880</v>
      </c>
      <c r="C78" s="14">
        <v>78</v>
      </c>
      <c r="D78" s="15" t="s">
        <v>212</v>
      </c>
      <c r="E78" s="15" t="s">
        <v>61</v>
      </c>
      <c r="F78" s="14">
        <v>5</v>
      </c>
      <c r="G78" s="15" t="s">
        <v>16</v>
      </c>
      <c r="H78" s="15" t="s">
        <v>602</v>
      </c>
      <c r="I78" s="15"/>
      <c r="J78" s="15" t="s">
        <v>602</v>
      </c>
      <c r="K78" s="16">
        <v>369.25</v>
      </c>
      <c r="N78">
        <f t="shared" si="4"/>
        <v>81880</v>
      </c>
      <c r="O78">
        <f>IF(AND(A78&gt;0,A78&lt;999),IFERROR(VLOOKUP(results0121[[#This Row],[Card]],U14M[],1,FALSE),0),0)</f>
        <v>81880</v>
      </c>
      <c r="P78">
        <f t="shared" si="5"/>
        <v>77</v>
      </c>
    </row>
    <row r="79" spans="1:16" x14ac:dyDescent="0.25">
      <c r="A79" s="18">
        <v>999</v>
      </c>
      <c r="B79" s="18">
        <v>80625</v>
      </c>
      <c r="C79" s="18">
        <v>22</v>
      </c>
      <c r="D79" s="19" t="s">
        <v>76</v>
      </c>
      <c r="E79" s="19" t="s">
        <v>19</v>
      </c>
      <c r="F79" s="18">
        <v>4</v>
      </c>
      <c r="G79" s="19" t="s">
        <v>16</v>
      </c>
      <c r="H79" s="19" t="s">
        <v>215</v>
      </c>
      <c r="I79" s="19"/>
      <c r="J79" s="19"/>
      <c r="K79" s="20">
        <v>0</v>
      </c>
      <c r="N79">
        <f t="shared" si="4"/>
        <v>80625</v>
      </c>
      <c r="O79">
        <f>IF(AND(A79&gt;0,A79&lt;999),IFERROR(VLOOKUP(results0121[[#This Row],[Card]],U14M[],1,FALSE),0),0)</f>
        <v>0</v>
      </c>
      <c r="P79">
        <f t="shared" si="5"/>
        <v>999</v>
      </c>
    </row>
    <row r="80" spans="1:16" x14ac:dyDescent="0.25">
      <c r="A80" s="14">
        <v>999</v>
      </c>
      <c r="B80" s="14">
        <v>86128</v>
      </c>
      <c r="C80" s="14">
        <v>32</v>
      </c>
      <c r="D80" s="15" t="s">
        <v>461</v>
      </c>
      <c r="E80" s="15" t="s">
        <v>61</v>
      </c>
      <c r="F80" s="14">
        <v>5</v>
      </c>
      <c r="G80" s="15" t="s">
        <v>16</v>
      </c>
      <c r="H80" s="15" t="s">
        <v>215</v>
      </c>
      <c r="I80" s="15"/>
      <c r="J80" s="15"/>
      <c r="K80" s="16">
        <v>0</v>
      </c>
      <c r="N80">
        <f t="shared" si="4"/>
        <v>86128</v>
      </c>
      <c r="O80">
        <f>IF(AND(A80&gt;0,A80&lt;999),IFERROR(VLOOKUP(results0121[[#This Row],[Card]],U14M[],1,FALSE),0),0)</f>
        <v>0</v>
      </c>
      <c r="P80">
        <f t="shared" si="5"/>
        <v>999</v>
      </c>
    </row>
    <row r="81" spans="1:16" x14ac:dyDescent="0.25">
      <c r="A81" s="18">
        <v>999</v>
      </c>
      <c r="B81" s="18">
        <v>80729</v>
      </c>
      <c r="C81" s="18">
        <v>44</v>
      </c>
      <c r="D81" s="19" t="s">
        <v>90</v>
      </c>
      <c r="E81" s="19" t="s">
        <v>22</v>
      </c>
      <c r="F81" s="18">
        <v>4</v>
      </c>
      <c r="G81" s="19" t="s">
        <v>16</v>
      </c>
      <c r="H81" s="19" t="s">
        <v>215</v>
      </c>
      <c r="I81" s="19"/>
      <c r="J81" s="19"/>
      <c r="K81" s="20">
        <v>0</v>
      </c>
      <c r="N81">
        <f t="shared" si="4"/>
        <v>80729</v>
      </c>
      <c r="O81">
        <f>IF(AND(A81&gt;0,A81&lt;999),IFERROR(VLOOKUP(results0121[[#This Row],[Card]],U14M[],1,FALSE),0),0)</f>
        <v>0</v>
      </c>
      <c r="P81">
        <f t="shared" si="5"/>
        <v>999</v>
      </c>
    </row>
    <row r="82" spans="1:16" x14ac:dyDescent="0.25">
      <c r="A82" s="14">
        <v>999</v>
      </c>
      <c r="B82" s="14">
        <v>85772</v>
      </c>
      <c r="C82" s="14">
        <v>49</v>
      </c>
      <c r="D82" s="15" t="s">
        <v>196</v>
      </c>
      <c r="E82" s="15" t="s">
        <v>15</v>
      </c>
      <c r="F82" s="14">
        <v>5</v>
      </c>
      <c r="G82" s="15" t="s">
        <v>16</v>
      </c>
      <c r="H82" s="15" t="s">
        <v>215</v>
      </c>
      <c r="I82" s="15"/>
      <c r="J82" s="15"/>
      <c r="K82" s="16">
        <v>0</v>
      </c>
      <c r="N82">
        <f t="shared" si="4"/>
        <v>85772</v>
      </c>
      <c r="O82">
        <f>IF(AND(A82&gt;0,A82&lt;999),IFERROR(VLOOKUP(results0121[[#This Row],[Card]],U14M[],1,FALSE),0),0)</f>
        <v>0</v>
      </c>
      <c r="P82">
        <f t="shared" si="5"/>
        <v>999</v>
      </c>
    </row>
    <row r="83" spans="1:16" x14ac:dyDescent="0.25">
      <c r="A83" s="18">
        <v>999</v>
      </c>
      <c r="B83" s="18">
        <v>81810</v>
      </c>
      <c r="C83" s="18">
        <v>71</v>
      </c>
      <c r="D83" s="19" t="s">
        <v>329</v>
      </c>
      <c r="E83" s="19" t="s">
        <v>54</v>
      </c>
      <c r="F83" s="18">
        <v>4</v>
      </c>
      <c r="G83" s="19" t="s">
        <v>16</v>
      </c>
      <c r="H83" s="19" t="s">
        <v>215</v>
      </c>
      <c r="I83" s="19"/>
      <c r="J83" s="19"/>
      <c r="K83" s="20">
        <v>0</v>
      </c>
      <c r="N83">
        <f t="shared" si="4"/>
        <v>81810</v>
      </c>
      <c r="O83">
        <f>IF(AND(A83&gt;0,A83&lt;999),IFERROR(VLOOKUP(results0121[[#This Row],[Card]],U14M[],1,FALSE),0),0)</f>
        <v>0</v>
      </c>
      <c r="P83">
        <f t="shared" si="5"/>
        <v>999</v>
      </c>
    </row>
    <row r="84" spans="1:16" x14ac:dyDescent="0.25">
      <c r="A84" s="14">
        <v>999</v>
      </c>
      <c r="B84" s="14">
        <v>80824</v>
      </c>
      <c r="C84" s="14">
        <v>3</v>
      </c>
      <c r="D84" s="15" t="s">
        <v>80</v>
      </c>
      <c r="E84" s="15" t="s">
        <v>54</v>
      </c>
      <c r="F84" s="14">
        <v>4</v>
      </c>
      <c r="G84" s="15" t="s">
        <v>16</v>
      </c>
      <c r="H84" s="15" t="s">
        <v>220</v>
      </c>
      <c r="I84" s="15"/>
      <c r="J84" s="15"/>
      <c r="K84" s="16">
        <v>0</v>
      </c>
      <c r="N84">
        <f t="shared" si="4"/>
        <v>80824</v>
      </c>
      <c r="O84">
        <f>IF(AND(A84&gt;0,A84&lt;999),IFERROR(VLOOKUP(results0121[[#This Row],[Card]],U14M[],1,FALSE),0),0)</f>
        <v>0</v>
      </c>
      <c r="P84">
        <f t="shared" si="5"/>
        <v>999</v>
      </c>
    </row>
    <row r="85" spans="1:16" x14ac:dyDescent="0.25">
      <c r="A85" s="18">
        <v>999</v>
      </c>
      <c r="B85" s="18">
        <v>81781</v>
      </c>
      <c r="C85" s="18">
        <v>14</v>
      </c>
      <c r="D85" s="19" t="s">
        <v>200</v>
      </c>
      <c r="E85" s="19" t="s">
        <v>38</v>
      </c>
      <c r="F85" s="18">
        <v>5</v>
      </c>
      <c r="G85" s="19" t="s">
        <v>16</v>
      </c>
      <c r="H85" s="19" t="s">
        <v>220</v>
      </c>
      <c r="I85" s="19"/>
      <c r="J85" s="19"/>
      <c r="K85" s="20">
        <v>0</v>
      </c>
      <c r="N85">
        <f t="shared" si="4"/>
        <v>81781</v>
      </c>
      <c r="O85">
        <f>IF(AND(A85&gt;0,A85&lt;999),IFERROR(VLOOKUP(results0121[[#This Row],[Card]],U14M[],1,FALSE),0),0)</f>
        <v>0</v>
      </c>
      <c r="P85">
        <f t="shared" si="5"/>
        <v>999</v>
      </c>
    </row>
    <row r="86" spans="1:16" x14ac:dyDescent="0.25">
      <c r="A86" s="14">
        <v>999</v>
      </c>
      <c r="B86" s="14">
        <v>80722</v>
      </c>
      <c r="C86" s="14">
        <v>43</v>
      </c>
      <c r="D86" s="15" t="s">
        <v>33</v>
      </c>
      <c r="E86" s="15" t="s">
        <v>22</v>
      </c>
      <c r="F86" s="14">
        <v>4</v>
      </c>
      <c r="G86" s="15" t="s">
        <v>16</v>
      </c>
      <c r="H86" s="15" t="s">
        <v>220</v>
      </c>
      <c r="I86" s="15"/>
      <c r="J86" s="15"/>
      <c r="K86" s="16">
        <v>0</v>
      </c>
      <c r="N86">
        <f t="shared" si="4"/>
        <v>80722</v>
      </c>
      <c r="O86">
        <f>IF(AND(A86&gt;0,A86&lt;999),IFERROR(VLOOKUP(results0121[[#This Row],[Card]],U14M[],1,FALSE),0),0)</f>
        <v>0</v>
      </c>
      <c r="P86">
        <f t="shared" si="5"/>
        <v>999</v>
      </c>
    </row>
    <row r="87" spans="1:16" x14ac:dyDescent="0.25">
      <c r="A87" s="18">
        <v>999</v>
      </c>
      <c r="B87" s="18">
        <v>82441</v>
      </c>
      <c r="C87" s="18">
        <v>53</v>
      </c>
      <c r="D87" s="19" t="s">
        <v>96</v>
      </c>
      <c r="E87" s="19" t="s">
        <v>15</v>
      </c>
      <c r="F87" s="18">
        <v>4</v>
      </c>
      <c r="G87" s="19" t="s">
        <v>16</v>
      </c>
      <c r="H87" s="19" t="s">
        <v>220</v>
      </c>
      <c r="I87" s="19"/>
      <c r="J87" s="19"/>
      <c r="K87" s="20">
        <v>0</v>
      </c>
      <c r="N87">
        <f t="shared" si="4"/>
        <v>82441</v>
      </c>
      <c r="O87">
        <f>IF(AND(A87&gt;0,A87&lt;999),IFERROR(VLOOKUP(results0121[[#This Row],[Card]],U14M[],1,FALSE),0),0)</f>
        <v>0</v>
      </c>
      <c r="P87">
        <f t="shared" si="5"/>
        <v>999</v>
      </c>
    </row>
    <row r="88" spans="1:16" x14ac:dyDescent="0.25">
      <c r="A88" s="14">
        <v>999</v>
      </c>
      <c r="B88" s="14">
        <v>82440</v>
      </c>
      <c r="C88" s="14">
        <v>59</v>
      </c>
      <c r="D88" s="15" t="s">
        <v>56</v>
      </c>
      <c r="E88" s="15" t="s">
        <v>15</v>
      </c>
      <c r="F88" s="14">
        <v>4</v>
      </c>
      <c r="G88" s="15" t="s">
        <v>16</v>
      </c>
      <c r="H88" s="15" t="s">
        <v>220</v>
      </c>
      <c r="I88" s="15"/>
      <c r="J88" s="15"/>
      <c r="K88" s="16">
        <v>0</v>
      </c>
      <c r="N88">
        <f t="shared" si="4"/>
        <v>82440</v>
      </c>
      <c r="O88">
        <f>IF(AND(A88&gt;0,A88&lt;999),IFERROR(VLOOKUP(results0121[[#This Row],[Card]],U14M[],1,FALSE),0),0)</f>
        <v>0</v>
      </c>
      <c r="P88">
        <f t="shared" si="5"/>
        <v>999</v>
      </c>
    </row>
    <row r="89" spans="1:16" x14ac:dyDescent="0.25">
      <c r="A89" s="18">
        <v>999</v>
      </c>
      <c r="B89" s="18">
        <v>80685</v>
      </c>
      <c r="C89" s="18">
        <v>61</v>
      </c>
      <c r="D89" s="19" t="s">
        <v>74</v>
      </c>
      <c r="E89" s="19" t="s">
        <v>15</v>
      </c>
      <c r="F89" s="18">
        <v>4</v>
      </c>
      <c r="G89" s="19" t="s">
        <v>16</v>
      </c>
      <c r="H89" s="19" t="s">
        <v>220</v>
      </c>
      <c r="I89" s="19"/>
      <c r="J89" s="19"/>
      <c r="K89" s="20">
        <v>0</v>
      </c>
      <c r="N89">
        <f t="shared" si="4"/>
        <v>80685</v>
      </c>
      <c r="O89">
        <f>IF(AND(A89&gt;0,A89&lt;999),IFERROR(VLOOKUP(results0121[[#This Row],[Card]],U14M[],1,FALSE),0),0)</f>
        <v>0</v>
      </c>
      <c r="P89">
        <f t="shared" si="5"/>
        <v>999</v>
      </c>
    </row>
    <row r="90" spans="1:16" x14ac:dyDescent="0.25">
      <c r="A90" s="28">
        <v>999</v>
      </c>
      <c r="B90" s="28">
        <v>81322</v>
      </c>
      <c r="C90" s="28">
        <v>74</v>
      </c>
      <c r="D90" s="29" t="s">
        <v>72</v>
      </c>
      <c r="E90" s="29" t="s">
        <v>22</v>
      </c>
      <c r="F90" s="28">
        <v>4</v>
      </c>
      <c r="G90" s="29" t="s">
        <v>16</v>
      </c>
      <c r="H90" s="29" t="s">
        <v>220</v>
      </c>
      <c r="I90" s="29"/>
      <c r="J90" s="29"/>
      <c r="K90" s="30">
        <v>0</v>
      </c>
      <c r="N90">
        <f t="shared" si="4"/>
        <v>81322</v>
      </c>
      <c r="O90">
        <f>IF(AND(A90&gt;0,A90&lt;999),IFERROR(VLOOKUP(results0121[[#This Row],[Card]],U14M[],1,FALSE),0),0)</f>
        <v>0</v>
      </c>
      <c r="P90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M E A A B Q S w M E F A A C A A g A 6 4 x Z T O H o W P K n A A A A + A A A A B I A H A B D b 2 5 m a W c v U G F j a 2 F n Z S 5 4 b W w g o h g A K K A U A A A A A A A A A A A A A A A A A A A A A A A A A A A A h Y 9 B D o I w F E S v Q r q n L Q W j k k 9 Z u J X E h G j c k l K h E Y q h x X I 3 F x 7 J K 0 i i q D u X M 3 m T v H n c 7 p C O b e N d Z W 9 U p x M U Y I o 8 q U V X K l 0 l a L A n f 4 V S D r t C n I t K e h O s T T w a l a D a 2 k t M i H M O u x B 3 f U U Y p Q E 5 Z t t c 1 L I t f K W N L b S Q 6 L M q / 6 8 Q h 8 N L h j O 8 i H C 0 X l I c s g D I X E O m 9 B d h k z G m Q H 5 K 2 A y N H X r J p f b 3 O Z A 5 A n m / 4 E 9 Q S w M E F A A C A A g A 6 4 x Z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u M W U z w C k r L e g E A A M M T A A A T A B w A R m 9 y b X V s Y X M v U 2 V j d G l v b j E u b S C i G A A o o B Q A A A A A A A A A A A A A A A A A A A A A A A A A A A D t l 0 F r g z A Y h u + C / y G 4 S w u i j d q 1 3 d h h d Y f u 0 h U r j D F 2 i P q t l W l S Y o Q V 8 b 9 P b X f S Y w M e 4 i X y J H k T 8 v A F U k A s U k b R / t L i R 1 3 T t e J I O C R o + x z i 5 Q w 7 D n p C G Q h d Q 8 2 3 Z y W P o S H v E F k 7 c o B J + + M z K o C K Y m I c h T g 9 2 D a J y Y m l D b F i Y m 9 Y D n Z A Y g i g K D N h d 8 F W m 2 x M p + Y l 9 4 U I 4 j a x l / z K r T 9 b 8 n X t v T P 8 I 6 G H Z l P h + Q R G M y 4 k U Q Z W y A k t v h n P f Z a V O W 0 7 i 0 k X Z V a V s Q G S A D d M J B q O B P y K 2 k S V E R D 6 0 8 B X K u 4 9 q 5 3 S U Z / w p E / X a d S H W 5 J D L 9 X P y q g H P 9 7 W Q y s J O D B + 7 o 3 G h U B B S X v c o Q n i A z x k g m Q o T A d 2 s + s O / x / T M o + A 1 / V U 1 1 I 6 e K J D 3 j 1 p 3 j 3 l f b z e v Z k s 7 9 5 M e R + v d 2 c u r d 7 n y v t t v V 8 F 3 8 g 8 X s g y j x f K / H g r H q + k e V 8 p 7 + P 1 7 m B p N z 1 W 3 s f r H S + l 1 f t S e R + v d 8 e V V u + u 8 j 5 i 7 9 J e c o 5 6 y Y 3 G + x 9 Q S w E C L Q A U A A I A C A D r j F l M 4 e h Y 8 q c A A A D 4 A A A A E g A A A A A A A A A A A A A A A A A A A A A A Q 2 9 u Z m l n L 1 B h Y 2 t h Z 2 U u e G 1 s U E s B A i 0 A F A A C A A g A 6 4 x Z T A / K 6 a u k A A A A 6 Q A A A B M A A A A A A A A A A A A A A A A A 8 w A A A F t D b 2 5 0 Z W 5 0 X 1 R 5 c G V z X S 5 4 b W x Q S w E C L Q A U A A I A C A D r j F l M 8 A p K y 3 o B A A D D E w A A E w A A A A A A A A A A A A A A A A D k A Q A A R m 9 y b X V s Y X M v U 2 V j d G l v b j E u b V B L B Q Y A A A A A A w A D A M I A A A C r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K e g A A A A A A A C h 6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O Q V Q x O D A x M j I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E t M j V U M j E 6 N D U 6 M D c u N z A 0 M T A 4 M 1 o i I C 8 + P E V u d H J 5 I F R 5 c G U 9 I k Z p b G x F c n J v c k N v Z G U i I F Z h b H V l P S J z V W 5 r b m 9 3 b i I g L z 4 8 R W 5 0 c n k g V H l w Z T 0 i R m l s b E N v b H V t b k 5 h b W V z I i B W Y W x 1 Z T 0 i c 1 s m c X V v d D t I Z W F k Z X I m c X V v d D s s J n F 1 b 3 Q 7 U m F u a y Z x d W 9 0 O y w m c X V v d D t D Y X J k J n F 1 b 3 Q 7 L C Z x d W 9 0 O 0 J p Y i Z x d W 9 0 O y w m c X V v d D t O Y W 1 l J n F 1 b 3 Q 7 L C Z x d W 9 0 O 0 N s d W I m c X V v d D s s J n F 1 b 3 Q 7 W U 9 C J n F 1 b 3 Q 7 L C Z x d W 9 0 O 0 N h d G V n b 3 J 5 J n F 1 b 3 Q 7 L C Z x d W 9 0 O z F z d C B S d W 4 m c X V v d D s s J n F 1 b 3 Q 7 M m 5 k I H J 1 b i Z x d W 9 0 O y w m c X V v d D t U b 3 R h b C B U a W 1 l J n F 1 b 3 Q 7 L C Z x d W 9 0 O 1 B v a W 5 0 c y Z x d W 9 0 O 1 0 i I C 8 + P E V u d H J 5 I F R 5 c G U 9 I k Z p b G x D b 2 x 1 b W 5 U e X B l c y I g V m F s d W U 9 I n N C Z 0 1 E Q X d Z R 0 F 3 W U d C Z 1 l G I i A v P j x F b n R y e S B U e X B l P S J G a W x s R X J y b 3 J D b 3 V u d C I g V m F s d W U 9 I m w w I i A v P j x F b n R y e S B U e X B l P S J G a W x s Q 2 9 1 b n Q i I F Z h b H V l P S J s M T A 2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5 B V D E 4 M D E y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x M j I v R G F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x M j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x M j Q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E t M j d U M T g 6 M T k 6 N T g u N D c 3 M j E y M F o i I C 8 + P E V u d H J 5 I F R 5 c G U 9 I k Z p b G x F c n J v c k N v Z G U i I F Z h b H V l P S J z V W 5 r b m 9 3 b i I g L z 4 8 R W 5 0 c n k g V H l w Z T 0 i R m l s b E N v b H V t b k 5 h b W V z I i B W Y W x 1 Z T 0 i c 1 s m c X V v d D t I Z W F k Z X I m c X V v d D s s J n F 1 b 3 Q 7 U m F u a y Z x d W 9 0 O y w m c X V v d D t D Y X J k J n F 1 b 3 Q 7 L C Z x d W 9 0 O 0 J p Y i Z x d W 9 0 O y w m c X V v d D t O Y W 1 l J n F 1 b 3 Q 7 L C Z x d W 9 0 O 0 N s d W I m c X V v d D s s J n F 1 b 3 Q 7 W U 9 C J n F 1 b 3 Q 7 L C Z x d W 9 0 O 0 N h d G V n b 3 J 5 J n F 1 b 3 Q 7 L C Z x d W 9 0 O z F z d C B S d W 4 m c X V v d D s s J n F 1 b 3 Q 7 M m 5 k I H J 1 b i Z x d W 9 0 O y w m c X V v d D t U b 3 R h b C B U a W 1 l J n F 1 b 3 Q 7 L C Z x d W 9 0 O 1 B v a W 5 0 c y Z x d W 9 0 O 1 0 i I C 8 + P E V u d H J 5 I F R 5 c G U 9 I k Z p b G x D b 2 x 1 b W 5 U e X B l c y I g V m F s d W U 9 I n N C Z 0 1 E Q X d Z R 0 F 3 W U d C Z 1 l G I i A v P j x F b n R y e S B U e X B l P S J G a W x s R X J y b 3 J D b 3 V u d C I g V m F s d W U 9 I m w w I i A v P j x F b n R y e S B U e X B l P S J G a W x s Q 2 9 1 b n Q i I F Z h b H V l P S J s M T E 2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5 B V D E 4 M D E y N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x M j Q v R G F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x M j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x N D A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E t M j d U M j E 6 M T g 6 M j M u N T c 4 M z g w M F o i I C 8 + P E V u d H J 5 I F R 5 c G U 9 I k Z p b G x F c n J v c k N v Z G U i I F Z h b H V l P S J z V W 5 r b m 9 3 b i I g L z 4 8 R W 5 0 c n k g V H l w Z T 0 i R m l s b E N v b H V t b k 5 h b W V z I i B W Y W x 1 Z T 0 i c 1 s m c X V v d D t I Z W F k Z X I m c X V v d D s s J n F 1 b 3 Q 7 U m F u a y Z x d W 9 0 O y w m c X V v d D t D Y X J k J n F 1 b 3 Q 7 L C Z x d W 9 0 O 0 J p Y i Z x d W 9 0 O y w m c X V v d D t O Y W 1 l J n F 1 b 3 Q 7 L C Z x d W 9 0 O 0 N s d W I m c X V v d D s s J n F 1 b 3 Q 7 W U 9 C J n F 1 b 3 Q 7 L C Z x d W 9 0 O 0 N h d G V n b 3 J 5 J n F 1 b 3 Q 7 L C Z x d W 9 0 O z F z d C B S d W 4 m c X V v d D s s J n F 1 b 3 Q 7 M m 5 k I H J 1 b i Z x d W 9 0 O y w m c X V v d D t U b 3 R h b C B U a W 1 l J n F 1 b 3 Q 7 L C Z x d W 9 0 O 1 B v a W 5 0 c y Z x d W 9 0 O 1 0 i I C 8 + P E V u d H J 5 I F R 5 c G U 9 I k Z p b G x D b 2 x 1 b W 5 U e X B l c y I g V m F s d W U 9 I n N C Z 0 1 E Q X d Z R 0 F 3 W U d C Z 1 l G I i A v P j x F b n R y e S B U e X B l P S J G a W x s R X J y b 3 J D b 3 V u d C I g V m F s d W U 9 I m w w I i A v P j x F b n R y e S B U e X B l P S J G a W x s Q 2 9 1 b n Q i I F Z h b H V l P S J s M T E 2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5 B V D E 4 M D E 0 M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x N D A v R G F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x N D A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x M j U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I t M D Z U M D E 6 M j Q 6 M T M u N T k y N z A x N 1 o i I C 8 + P E V u d H J 5 I F R 5 c G U 9 I k Z p b G x D b 2 x 1 b W 5 O Y W 1 l c y I g V m F s d W U 9 I n N b J n F 1 b 3 Q 7 S G V h Z G V y J n F 1 b 3 Q 7 L C Z x d W 9 0 O 1 J h b m s m c X V v d D s s J n F 1 b 3 Q 7 Q 2 F y Z C Z x d W 9 0 O y w m c X V v d D t C a W I m c X V v d D s s J n F 1 b 3 Q 7 T m F t Z S Z x d W 9 0 O y w m c X V v d D t D b H V i J n F 1 b 3 Q 7 L C Z x d W 9 0 O 1 l P Q i Z x d W 9 0 O y w m c X V v d D t D Y X R l Z 2 9 y e S Z x d W 9 0 O y w m c X V v d D s x c 3 Q g U n V u J n F 1 b 3 Q 7 L C Z x d W 9 0 O z J u Z C B y d W 4 m c X V v d D s s J n F 1 b 3 Q 7 V G 9 0 Y W w g V G l t Z S Z x d W 9 0 O y w m c X V v d D t Q b 2 l u d H M m c X V v d D t d I i A v P j x F b n R y e S B U e X B l P S J G a W x s R X J y b 3 J D b 2 R l I i B W Y W x 1 Z T 0 i c 1 V u a 2 5 v d 2 4 i I C 8 + P E V u d H J 5 I F R 5 c G U 9 I k Z p b G x D b 2 x 1 b W 5 U e X B l c y I g V m F s d W U 9 I n N C Z 0 1 E Q X d Z R 0 F 3 W U d C Z 1 V G I i A v P j x F b n R y e S B U e X B l P S J G a W x s R X J y b 3 J D b 3 V u d C I g V m F s d W U 9 I m w w I i A v P j x F b n R y e S B U e X B l P S J G a W x s Q 2 9 1 b n Q i I F Z h b H V l P S J s M T E 2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5 B V D E 4 M D E y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x M j U v R G F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x M j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x M T c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I t M D Z U M T Y 6 M j A 6 N T k u O T A 3 N T g y M V o i I C 8 + P E V u d H J 5 I F R 5 c G U 9 I k Z p b G x F c n J v c k N v Z G U i I F Z h b H V l P S J z V W 5 r b m 9 3 b i I g L z 4 8 R W 5 0 c n k g V H l w Z T 0 i R m l s b E N v b H V t b k 5 h b W V z I i B W Y W x 1 Z T 0 i c 1 s m c X V v d D t I Z W F k Z X I m c X V v d D s s J n F 1 b 3 Q 7 U m F u a y Z x d W 9 0 O y w m c X V v d D t D Y X J k J n F 1 b 3 Q 7 L C Z x d W 9 0 O 0 J p Y i Z x d W 9 0 O y w m c X V v d D t O Y W 1 l J n F 1 b 3 Q 7 L C Z x d W 9 0 O 0 N s d W I m c X V v d D s s J n F 1 b 3 Q 7 W U 9 C J n F 1 b 3 Q 7 L C Z x d W 9 0 O 0 N h d G V n b 3 J 5 J n F 1 b 3 Q 7 L C Z x d W 9 0 O z F z d C B S d W 4 m c X V v d D s s J n F 1 b 3 Q 7 M m 5 k I H J 1 b i Z x d W 9 0 O y w m c X V v d D t U b 3 R h b C B U a W 1 l J n F 1 b 3 Q 7 L C Z x d W 9 0 O 1 B v a W 5 0 c y Z x d W 9 0 O 1 0 i I C 8 + P E V u d H J 5 I F R 5 c G U 9 I k Z p b G x D b 2 x 1 b W 5 U e X B l c y I g V m F s d W U 9 I n N C Z 0 1 E Q X d Z R 0 F 3 W U d C Z 1 l G I i A v P j x F b n R y e S B U e X B l P S J G a W x s R X J y b 3 J D b 3 V u d C I g V m F s d W U 9 I m w w I i A v P j x F b n R y e S B U e X B l P S J G a W x s Q 2 9 1 b n Q i I F Z h b H V l P S J s M T E 1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5 B V D E 4 M D E x N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x M T c v R G F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x M T c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x M T k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I t M D Z U M T c 6 M T A 6 M z I u M T k x N j Y w M F o i I C 8 + P E V u d H J 5 I F R 5 c G U 9 I k Z p b G x D b 2 x 1 b W 5 O Y W 1 l c y I g V m F s d W U 9 I n N b J n F 1 b 3 Q 7 S G V h Z G V y J n F 1 b 3 Q 7 L C Z x d W 9 0 O 1 J h b m s m c X V v d D s s J n F 1 b 3 Q 7 Q 2 F y Z C Z x d W 9 0 O y w m c X V v d D t C a W I m c X V v d D s s J n F 1 b 3 Q 7 T m F t Z S Z x d W 9 0 O y w m c X V v d D t D b H V i J n F 1 b 3 Q 7 L C Z x d W 9 0 O 1 l P Q i Z x d W 9 0 O y w m c X V v d D t D Y X R l Z 2 9 y e S Z x d W 9 0 O y w m c X V v d D s x c 3 Q g U n V u J n F 1 b 3 Q 7 L C Z x d W 9 0 O z J u Z C B y d W 4 m c X V v d D s s J n F 1 b 3 Q 7 V G 9 0 Y W w g V G l t Z S Z x d W 9 0 O y w m c X V v d D t Q b 2 l u d H M m c X V v d D t d I i A v P j x F b n R y e S B U e X B l P S J G a W x s R X J y b 3 J D b 2 R l I i B W Y W x 1 Z T 0 i c 1 V u a 2 5 v d 2 4 i I C 8 + P E V u d H J 5 I F R 5 c G U 9 I k Z p b G x D b 2 x 1 b W 5 U e X B l c y I g V m F s d W U 9 I n N C Z 0 1 E Q X d Z R 0 F 3 W U d C Z 1 l G I i A v P j x F b n R y e S B U e X B l P S J G a W x s R X J y b 3 J D b 3 V u d C I g V m F s d W U 9 I m w w I i A v P j x F b n R y e S B U e X B l P S J G a W x s Q 2 9 1 b n Q i I F Z h b H V l P S J s M T E z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5 B V D E 4 M D E x O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x M T k v R G F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x M T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x M j E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I t M D Z U M T c 6 M T c 6 N T k u M z U 1 N j c 5 M l o i I C 8 + P E V u d H J 5 I F R 5 c G U 9 I k Z p b G x D b 2 x 1 b W 5 O Y W 1 l c y I g V m F s d W U 9 I n N b J n F 1 b 3 Q 7 S G V h Z G V y J n F 1 b 3 Q 7 L C Z x d W 9 0 O 1 J h b m s m c X V v d D s s J n F 1 b 3 Q 7 Q 2 F y Z C Z x d W 9 0 O y w m c X V v d D t C a W I m c X V v d D s s J n F 1 b 3 Q 7 T m F t Z S Z x d W 9 0 O y w m c X V v d D t D b H V i J n F 1 b 3 Q 7 L C Z x d W 9 0 O 1 l P Q i Z x d W 9 0 O y w m c X V v d D t D Y X R l Z 2 9 y e S Z x d W 9 0 O y w m c X V v d D s x c 3 Q g U n V u J n F 1 b 3 Q 7 L C Z x d W 9 0 O z J u Z C B y d W 4 m c X V v d D s s J n F 1 b 3 Q 7 V G 9 0 Y W w g V G l t Z S Z x d W 9 0 O y w m c X V v d D t Q b 2 l u d H M m c X V v d D t d I i A v P j x F b n R y e S B U e X B l P S J G a W x s R X J y b 3 J D b 2 R l I i B W Y W x 1 Z T 0 i c 1 V u a 2 5 v d 2 4 i I C 8 + P E V u d H J 5 I F R 5 c G U 9 I k Z p b G x D b 2 x 1 b W 5 U e X B l c y I g V m F s d W U 9 I n N C Z 0 1 E Q X d Z R 0 F 3 W U d C Z 1 l G I i A v P j x F b n R y e S B U e X B l P S J G a W x s R X J y b 3 J D b 3 V u d C I g V m F s d W U 9 I m w w I i A v P j x F b n R y e S B U e X B l P S J G a W x s Q 2 9 1 b n Q i I F Z h b H V l P S J s O D k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k F U M T g w M T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y M S 9 E Y X R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y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x O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i 0 x M l Q x N j o w N j o w O S 4 3 N z I 4 M T E z W i I g L z 4 8 R W 5 0 c n k g V H l w Z T 0 i R m l s b E N v b H V t b k 5 h b W V z I i B W Y W x 1 Z T 0 i c 1 s m c X V v d D t I Z W F k Z X I m c X V v d D s s J n F 1 b 3 Q 7 U m F u a y Z x d W 9 0 O y w m c X V v d D t D Y X J k J n F 1 b 3 Q 7 L C Z x d W 9 0 O 0 J p Y i Z x d W 9 0 O y w m c X V v d D t O Y W 1 l J n F 1 b 3 Q 7 L C Z x d W 9 0 O 0 N s d W I m c X V v d D s s J n F 1 b 3 Q 7 W U 9 C J n F 1 b 3 Q 7 L C Z x d W 9 0 O 0 N h d G V n b 3 J 5 J n F 1 b 3 Q 7 L C Z x d W 9 0 O z F z d C B S d W 4 m c X V v d D s s J n F 1 b 3 Q 7 M m 5 k I H J 1 b i Z x d W 9 0 O y w m c X V v d D t U b 3 R h b C B U a W 1 l J n F 1 b 3 Q 7 L C Z x d W 9 0 O 1 B v a W 5 0 c y Z x d W 9 0 O 1 0 i I C 8 + P E V u d H J 5 I F R 5 c G U 9 I k Z p b G x F c n J v c k N v Z G U i I F Z h b H V l P S J z V W 5 r b m 9 3 b i I g L z 4 8 R W 5 0 c n k g V H l w Z T 0 i R m l s b E N v b H V t b l R 5 c G V z I i B W Y W x 1 Z T 0 i c 0 J n T U R B d 1 l H Q X d Z R 0 J n W U Y i I C 8 + P E V u d H J 5 I F R 5 c G U 9 I k Z p b G x F c n J v c k N v d W 5 0 I i B W Y W x 1 Z T 0 i b D A i I C 8 + P E V u d H J 5 I F R 5 c G U 9 I k Z p b G x D b 3 V u d C I g V m F s d W U 9 I m w x M T M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k F U M T g w M T E 4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x O C 9 E Y X R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x O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y M z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i 0 y M l Q x O T o x O T o z N C 4 4 N j I 4 N D A 1 W i I g L z 4 8 R W 5 0 c n k g V H l w Z T 0 i R m l s b E N v b H V t b k 5 h b W V z I i B W Y W x 1 Z T 0 i c 1 s m c X V v d D t I Z W F k Z X I m c X V v d D s s J n F 1 b 3 Q 7 U m F u a y Z x d W 9 0 O y w m c X V v d D t D Y X J k J n F 1 b 3 Q 7 L C Z x d W 9 0 O 0 J p Y i Z x d W 9 0 O y w m c X V v d D t O Y W 1 l J n F 1 b 3 Q 7 L C Z x d W 9 0 O 0 N s d W I m c X V v d D s s J n F 1 b 3 Q 7 W U 9 C J n F 1 b 3 Q 7 L C Z x d W 9 0 O 0 N h d G V n b 3 J 5 J n F 1 b 3 Q 7 L C Z x d W 9 0 O z F z d C B S d W 4 m c X V v d D s s J n F 1 b 3 Q 7 M m 5 k I H J 1 b i Z x d W 9 0 O y w m c X V v d D t U b 3 R h b C B U a W 1 l J n F 1 b 3 Q 7 L C Z x d W 9 0 O 1 B v a W 5 0 c y Z x d W 9 0 O 1 0 i I C 8 + P E V u d H J 5 I F R 5 c G U 9 I k Z p b G x F c n J v c k N v Z G U i I F Z h b H V l P S J z V W 5 r b m 9 3 b i I g L z 4 8 R W 5 0 c n k g V H l w Z T 0 i R m l s b E N v b H V t b l R 5 c G V z I i B W Y W x 1 Z T 0 i c 0 J n T U R B d 1 l H Q X d Z R 0 J n W U Y i I C 8 + P E V u d H J 5 I F R 5 c G U 9 I k Z p b G x F c n J v c k N v d W 5 0 I i B W Y W x 1 Z T 0 i b D A i I C 8 + P E V u d H J 5 I F R 5 c G U 9 I k Z p b G x D b 3 V u d C I g V m F s d W U 9 I m w x M T Y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k F U M T g w M T I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y M y 9 E Y X R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y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y M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i 0 y N V Q y M j o z O D o 1 N y 4 2 N T g 0 O T Q 1 W i I g L z 4 8 R W 5 0 c n k g V H l w Z T 0 i R m l s b E V y c m 9 y Q 2 9 k Z S I g V m F s d W U 9 I n N V b m t u b 3 d u I i A v P j x F b n R y e S B U e X B l P S J G a W x s Q 2 9 s d W 1 u T m F t Z X M i I F Z h b H V l P S J z W y Z x d W 9 0 O 0 h l Y W R l c i Z x d W 9 0 O y w m c X V v d D t S Y W 5 r J n F 1 b 3 Q 7 L C Z x d W 9 0 O 0 N h c m Q m c X V v d D s s J n F 1 b 3 Q 7 Q m l i J n F 1 b 3 Q 7 L C Z x d W 9 0 O 0 5 h b W U m c X V v d D s s J n F 1 b 3 Q 7 Q 2 x 1 Y i Z x d W 9 0 O y w m c X V v d D t Z T 0 I m c X V v d D s s J n F 1 b 3 Q 7 Q 2 F 0 Z W d v c n k m c X V v d D s s J n F 1 b 3 Q 7 M X N 0 I F J 1 b i Z x d W 9 0 O y w m c X V v d D s y b m Q g c n V u J n F 1 b 3 Q 7 L C Z x d W 9 0 O 1 R v d G F s I F R p b W U m c X V v d D s s J n F 1 b 3 Q 7 U G 9 p b n R z J n F 1 b 3 Q 7 X S I g L z 4 8 R W 5 0 c n k g V H l w Z T 0 i R m l s b E N v b H V t b l R 5 c G V z I i B W Y W x 1 Z T 0 i c 0 J n T U R B d 1 l H Q X d Z R 0 J n W U Y i I C 8 + P E V u d H J 5 I F R 5 c G U 9 I k Z p b G x F c n J v c k N v d W 5 0 I i B W Y W x 1 Z T 0 i b D A i I C 8 + P E V u d H J 5 I F R 5 c G U 9 I k Z p b G x D b 3 V u d C I g V m F s d W U 9 I m w x M T I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k F U M T g w M T I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y M C 9 E Y X R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y M C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+ V 8 P k z d t q T L q B O I E f w D V m A A A A A A I A A A A A A A N m A A D A A A A A E A A A A F u K B K + + F z B H E B x L T I 7 S K X Q A A A A A B I A A A K A A A A A Q A A A A 9 z T J 3 6 t p q S A a A q G 7 d + N 4 4 1 A A A A B y 0 i 9 n c f Q d I g M W k R T w N Z r M 8 J b j d T u / 6 P r C U D 3 k 8 7 2 Z 1 o w n O p r k W S A V R 7 0 x 6 7 R x i A F 1 J 1 x Z l U p K 8 e 4 O d S n 5 i 9 g b c s X m R Q 3 o 2 n H Q j K 9 k Y H F C c B Q A A A D 8 Q z R H q g d f 3 U z 5 m l Y U p 0 R B u E n k Q g = = < / D a t a M a s h u p > 
</file>

<file path=customXml/itemProps1.xml><?xml version="1.0" encoding="utf-8"?>
<ds:datastoreItem xmlns:ds="http://schemas.openxmlformats.org/officeDocument/2006/customXml" ds:itemID="{8AF8514A-2129-452F-AD38-F45AA4FBA34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U14-OCUPM</vt:lpstr>
      <vt:lpstr>U14-OCUPM Combined</vt:lpstr>
      <vt:lpstr>U14-OCUPM Series Runs</vt:lpstr>
      <vt:lpstr>U14-OCUPM MW Runs</vt:lpstr>
      <vt:lpstr>Points Table</vt:lpstr>
      <vt:lpstr>NAT18.0118</vt:lpstr>
      <vt:lpstr>NAT18.0117</vt:lpstr>
      <vt:lpstr>NAT18.0119</vt:lpstr>
      <vt:lpstr>NAT18.0121</vt:lpstr>
      <vt:lpstr>NAT18.0122</vt:lpstr>
      <vt:lpstr>NAT18.0124</vt:lpstr>
      <vt:lpstr>NAT18.0140</vt:lpstr>
      <vt:lpstr>NAT18.0125</vt:lpstr>
      <vt:lpstr>NAT18.0123</vt:lpstr>
      <vt:lpstr>NAT18.0120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 Gibson MacLean</dc:creator>
  <cp:lastModifiedBy>SOD Member Service</cp:lastModifiedBy>
  <cp:lastPrinted>2018-02-08T16:00:23Z</cp:lastPrinted>
  <dcterms:created xsi:type="dcterms:W3CDTF">2018-01-16T19:59:43Z</dcterms:created>
  <dcterms:modified xsi:type="dcterms:W3CDTF">2018-02-26T20:26:56Z</dcterms:modified>
</cp:coreProperties>
</file>